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180" windowWidth="15480" windowHeight="11580" tabRatio="690" activeTab="3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<sst xmlns="http://schemas.openxmlformats.org/spreadsheetml/2006/main" count="281" uniqueCount="53">
  <si>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</si>
  <si>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</si>
  <si>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</si>
  <si>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</si>
  <si>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</si>
  <si>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</si>
  <si>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</si>
  <si>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</si>
  <si>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</si>
  <si>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</si>
  <si>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</si>
  <si>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</si>
  <si>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</si>
  <si>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</si>
  <si>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</si>
  <si>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</si>
  <si>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</si>
  <si>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</si>
  <si>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</si>
  <si>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</si>
  <si>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</si>
  <si>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</si>
  <si>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</si>
  <si>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</si>
  <si>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</si>
  <si>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</si>
  <si>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</si>
  <si>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Elaboracion de Avisos de Privacidad</t>
  </si>
  <si>
    <t>Asesoria via telefonica con el ITEI</t>
  </si>
  <si>
    <t>Asesoria a DIF Tecolotlan en materia de Transparencia</t>
  </si>
  <si>
    <t>Asesoria a Agentes y delegados en materia de Transparencia</t>
  </si>
  <si>
    <t>contestacion a ITEI RR2130</t>
  </si>
  <si>
    <t>Captura de SIRES,  Información del mes de enero</t>
  </si>
  <si>
    <t>Reunion con presidente</t>
  </si>
  <si>
    <t xml:space="preserve">capacitacion de contraloria </t>
  </si>
  <si>
    <t>Gestion de capacitacion para personal del Ayuntamiento en el ITEI</t>
  </si>
  <si>
    <t>Reunion con presidente, capacitaciones en el ITEI para PDP, Encargado de Agentes y Archivo</t>
  </si>
  <si>
    <t>Reunion con presidente, capacitaciones en el ITEI para personal de transparencia</t>
  </si>
  <si>
    <t xml:space="preserve">Asesoria de área con el ITEI </t>
  </si>
  <si>
    <t>del 25 febrero al 06 de marzo apoyo en eventos de carnaval 2019</t>
  </si>
  <si>
    <t>Reunión con Presidente, ajustes con el ITEI por convenio de Colaboración</t>
  </si>
  <si>
    <t>Captura de SIRES,  Información del mes de Febrero</t>
  </si>
  <si>
    <t xml:space="preserve">I Sesion ordinaria  de Comité de Transparencia, </t>
  </si>
  <si>
    <t>Reunión con Presidente</t>
  </si>
  <si>
    <t>Reunion y capacitacion para reasiganción de los articulos 8 y 15, Capacitacion en materia de PNT</t>
  </si>
  <si>
    <t>Asesoria y platicas informativas con el ITEI</t>
  </si>
  <si>
    <t>Capacitacion Regional sede Cocula en materia de Transparencia y PNT</t>
  </si>
  <si>
    <t>Nota:  las actividades frecuentes de la unidad de Transparencia son: contestar solicitudes de informacion, proteccion de datos personales, solucion a Recursos,asesoria a áreas del ayuntamiento, comunicación con el ITEI, estadisticas, sabado 23 reunion casa de la cultura con Maguistrada y diputada Irma de Anda.</t>
  </si>
  <si>
    <t>Captura de SIRES,  Información del mes de Marzo, asesoria a Dif Tecololtán, Dia Mundial de la Activacion Fisica</t>
  </si>
  <si>
    <t>Firma del Convenio con el ITEI en Chapala</t>
  </si>
  <si>
    <t xml:space="preserve">6to. Festival del mariachi, modificaciones con itei al Convenio </t>
  </si>
  <si>
    <t>recepcion de datos y captura de datos en sistemas</t>
  </si>
  <si>
    <t>2da revicion de convenio con itei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</si>
</sst>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5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91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7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70"/>
      <tableStyleElement type="headerRow" dxfId="69"/>
      <tableStyleElement type="totalRow" dxfId="68"/>
      <tableStyleElement type="firstColumn" dxfId="67"/>
      <tableStyleElement type="lastColumn" dxfId="66"/>
      <tableStyleElement type="firstRowStripe" dxfId="65"/>
      <tableStyleElement type="firstColumnStripe" dxfId="64"/>
    </tableStyle>
    <tableStyle name="TableStyleLight9 2" pivot="0" count="4">
      <tableStyleElement type="wholeTable" dxfId="63"/>
      <tableStyleElement type="headerRow" dxfId="62"/>
      <tableStyleElement type="totalRow" dxfId="61"/>
      <tableStyleElement type="firstColumn" dxfId="6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3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80">
        <v>2019</v>
      </c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81"/>
    </row>
    <row r="4" spans="1:14" ht="18" customHeight="1" x14ac:dyDescent="0.2">
      <c r="A4" s="4"/>
      <c r="B4" s="36"/>
      <c r="C4" s="10">
        <f>IF(DAY(JanSun1)=1,JanSun1-6,JanSun1+1)</f>
        <v>43465</v>
      </c>
      <c r="D4" s="10">
        <f>IF(DAY(JanSun1)=1,JanSun1-5,JanSun1+2)</f>
        <v>43466</v>
      </c>
      <c r="E4" s="10">
        <f>IF(DAY(JanSun1)=1,JanSun1-4,JanSun1+3)</f>
        <v>43467</v>
      </c>
      <c r="F4" s="10">
        <f>IF(DAY(JanSun1)=1,JanSun1-3,JanSun1+4)</f>
        <v>43468</v>
      </c>
      <c r="G4" s="10">
        <f>IF(DAY(JanSun1)=1,JanSun1-2,JanSun1+5)</f>
        <v>43469</v>
      </c>
      <c r="H4" s="10">
        <f>IF(DAY(JanSun1)=1,JanSun1-1,JanSun1+6)</f>
        <v>43470</v>
      </c>
      <c r="I4" s="10">
        <f>IF(DAY(JanSun1)=1,JanSun1,JanSun1+7)</f>
        <v>43471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IF(DAY(JanSun1)=1,JanSun1+1,JanSun1+8)</f>
        <v>43472</v>
      </c>
      <c r="D5" s="10">
        <f>IF(DAY(JanSun1)=1,JanSun1+2,JanSun1+9)</f>
        <v>43473</v>
      </c>
      <c r="E5" s="10">
        <f>IF(DAY(JanSun1)=1,JanSun1+3,JanSun1+10)</f>
        <v>43474</v>
      </c>
      <c r="F5" s="10">
        <f>IF(DAY(JanSun1)=1,JanSun1+4,JanSun1+11)</f>
        <v>43475</v>
      </c>
      <c r="G5" s="10">
        <f>IF(DAY(JanSun1)=1,JanSun1+5,JanSun1+12)</f>
        <v>43476</v>
      </c>
      <c r="H5" s="10">
        <f>IF(DAY(JanSun1)=1,JanSun1+6,JanSun1+13)</f>
        <v>43477</v>
      </c>
      <c r="I5" s="10">
        <f>IF(DAY(JanSun1)=1,JanSun1+7,JanSun1+14)</f>
        <v>43478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IF(DAY(JanSun1)=1,JanSun1+8,JanSun1+15)</f>
        <v>43479</v>
      </c>
      <c r="D6" s="10">
        <f>IF(DAY(JanSun1)=1,JanSun1+9,JanSun1+16)</f>
        <v>43480</v>
      </c>
      <c r="E6" s="10">
        <f>IF(DAY(JanSun1)=1,JanSun1+10,JanSun1+17)</f>
        <v>43481</v>
      </c>
      <c r="F6" s="10">
        <f>IF(DAY(JanSun1)=1,JanSun1+11,JanSun1+18)</f>
        <v>43482</v>
      </c>
      <c r="G6" s="10">
        <f>IF(DAY(JanSun1)=1,JanSun1+12,JanSun1+19)</f>
        <v>43483</v>
      </c>
      <c r="H6" s="10">
        <f>IF(DAY(JanSun1)=1,JanSun1+13,JanSun1+20)</f>
        <v>43484</v>
      </c>
      <c r="I6" s="10">
        <f>IF(DAY(JanSun1)=1,JanSun1+14,JanSun1+21)</f>
        <v>43485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IF(DAY(JanSun1)=1,JanSun1+15,JanSun1+22)</f>
        <v>43486</v>
      </c>
      <c r="D7" s="10">
        <f>IF(DAY(JanSun1)=1,JanSun1+16,JanSun1+23)</f>
        <v>43487</v>
      </c>
      <c r="E7" s="10">
        <f>IF(DAY(JanSun1)=1,JanSun1+17,JanSun1+24)</f>
        <v>43488</v>
      </c>
      <c r="F7" s="10">
        <f>IF(DAY(JanSun1)=1,JanSun1+18,JanSun1+25)</f>
        <v>43489</v>
      </c>
      <c r="G7" s="10">
        <f>IF(DAY(JanSun1)=1,JanSun1+19,JanSun1+26)</f>
        <v>43490</v>
      </c>
      <c r="H7" s="10">
        <f>IF(DAY(JanSun1)=1,JanSun1+20,JanSun1+27)</f>
        <v>43491</v>
      </c>
      <c r="I7" s="10">
        <f>IF(DAY(JanSun1)=1,JanSun1+21,JanSun1+28)</f>
        <v>43492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IF(DAY(JanSun1)=1,JanSun1+22,JanSun1+29)</f>
        <v>43493</v>
      </c>
      <c r="D8" s="10">
        <f>IF(DAY(JanSun1)=1,JanSun1+23,JanSun1+30)</f>
        <v>43494</v>
      </c>
      <c r="E8" s="10">
        <f>IF(DAY(JanSun1)=1,JanSun1+24,JanSun1+31)</f>
        <v>43495</v>
      </c>
      <c r="F8" s="10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8</v>
      </c>
      <c r="M12" s="33" t="s">
        <v>29</v>
      </c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>
        <v>22</v>
      </c>
      <c r="M14" s="33" t="s">
        <v>31</v>
      </c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>
        <v>9</v>
      </c>
      <c r="M17" s="33" t="s">
        <v>28</v>
      </c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>
        <v>16</v>
      </c>
      <c r="M18" s="33" t="s">
        <v>27</v>
      </c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17</v>
      </c>
      <c r="M24" s="33" t="s">
        <v>29</v>
      </c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>
        <v>31</v>
      </c>
      <c r="M26" s="33" t="s">
        <v>30</v>
      </c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>
        <v>18</v>
      </c>
      <c r="M30" s="33" t="s">
        <v>28</v>
      </c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2">
    <mergeCell ref="M14:N14"/>
    <mergeCell ref="M15:N15"/>
    <mergeCell ref="M16:N16"/>
    <mergeCell ref="M17:N17"/>
    <mergeCell ref="M18:N18"/>
    <mergeCell ref="M19:N19"/>
    <mergeCell ref="M20:N20"/>
    <mergeCell ref="C19:D19"/>
    <mergeCell ref="C20:D20"/>
    <mergeCell ref="C22:D22"/>
    <mergeCell ref="C23:D23"/>
    <mergeCell ref="C14:D14"/>
    <mergeCell ref="C15:D15"/>
    <mergeCell ref="K16:K18"/>
    <mergeCell ref="K22:K25"/>
    <mergeCell ref="E13:F13"/>
    <mergeCell ref="C13:D13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M13:N13"/>
    <mergeCell ref="G28:H28"/>
    <mergeCell ref="G29:H29"/>
    <mergeCell ref="G33:H33"/>
    <mergeCell ref="I33:J33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31:N31"/>
    <mergeCell ref="M32:N32"/>
    <mergeCell ref="M33:N33"/>
    <mergeCell ref="M26:N26"/>
    <mergeCell ref="C29:D29"/>
    <mergeCell ref="C33:D33"/>
    <mergeCell ref="C24:D24"/>
    <mergeCell ref="C25:D25"/>
    <mergeCell ref="C26:D26"/>
    <mergeCell ref="C27:D27"/>
    <mergeCell ref="C28:D28"/>
    <mergeCell ref="B30:J32"/>
    <mergeCell ref="E28:F28"/>
    <mergeCell ref="E27:F27"/>
    <mergeCell ref="E26:F26"/>
    <mergeCell ref="E25:F25"/>
    <mergeCell ref="E24:F24"/>
    <mergeCell ref="E33:F33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</mergeCells>
  <phoneticPr fontId="2" type="noConversion"/>
  <conditionalFormatting sqref="C4:H4">
    <cfRule type="expression" dxfId="59" priority="5" stopIfTrue="1">
      <formula>DAY(C4)&gt;8</formula>
    </cfRule>
  </conditionalFormatting>
  <conditionalFormatting sqref="C8:I10">
    <cfRule type="expression" dxfId="58" priority="4" stopIfTrue="1">
      <formula>AND(DAY(C8)&gt;=1,DAY(C8)&lt;=15)</formula>
    </cfRule>
  </conditionalFormatting>
  <conditionalFormatting sqref="C4:I9">
    <cfRule type="expression" dxfId="57" priority="16">
      <formula>VLOOKUP(DAY(C4),DíasDeTareas,1,FALSE)=DAY(C4)</formula>
    </cfRule>
  </conditionalFormatting>
  <conditionalFormatting sqref="B14:J29 B33:J33">
    <cfRule type="expression" dxfId="56" priority="2">
      <formula>B14&lt;&gt;""</formula>
    </cfRule>
  </conditionalFormatting>
  <conditionalFormatting sqref="B30">
    <cfRule type="expression" dxfId="5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J38" sqref="J3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17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3:J33">
    <cfRule type="expression" dxfId="11" priority="2">
      <formula>B14&lt;&gt;""</formula>
    </cfRule>
  </conditionalFormatting>
  <conditionalFormatting sqref="B30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J42" sqref="J4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16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29 B33:J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L30" sqref="L30:N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9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11" sqref="M11:N1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25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10">
        <f>IF(DAY(FebDom1)=1,FebDom1-1,FebDom1+6)</f>
        <v>43498</v>
      </c>
      <c r="I4" s="10">
        <f>IF(DAY(FebDom1)=1,FebDom1,FebDom1+7)</f>
        <v>43499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10">
        <f>IF(DAY(FebDom1)=1,FebDom1+6,FebDom1+13)</f>
        <v>43505</v>
      </c>
      <c r="I5" s="10">
        <f>IF(DAY(FebDom1)=1,FebDom1+7,FebDom1+14)</f>
        <v>43506</v>
      </c>
      <c r="J5" s="5"/>
      <c r="K5" s="66"/>
      <c r="L5" s="17">
        <v>11</v>
      </c>
      <c r="M5" s="1" t="s">
        <v>35</v>
      </c>
    </row>
    <row r="6" spans="1:14" ht="18" customHeight="1" x14ac:dyDescent="0.2">
      <c r="A6" s="4"/>
      <c r="B6" s="36"/>
      <c r="C6" s="10">
        <f>IF(DAY(FebDom1)=1,FebDom1+8,FebDom1+15)</f>
        <v>43507</v>
      </c>
      <c r="D6" s="10">
        <f>IF(DAY(FebDom1)=1,FebDom1+9,FebDom1+16)</f>
        <v>43508</v>
      </c>
      <c r="E6" s="10">
        <f>IF(DAY(FebDom1)=1,FebDom1+10,FebDom1+17)</f>
        <v>43509</v>
      </c>
      <c r="F6" s="10">
        <f>IF(DAY(FebDom1)=1,FebDom1+11,FebDom1+18)</f>
        <v>43510</v>
      </c>
      <c r="G6" s="10">
        <f>IF(DAY(FebDom1)=1,FebDom1+12,FebDom1+19)</f>
        <v>43511</v>
      </c>
      <c r="H6" s="10">
        <f>IF(DAY(FebDom1)=1,FebDom1+13,FebDom1+20)</f>
        <v>43512</v>
      </c>
      <c r="I6" s="10">
        <f>IF(DAY(FebDom1)=1,FebDom1+14,FebDom1+21)</f>
        <v>43513</v>
      </c>
      <c r="J6" s="5"/>
      <c r="K6" s="66"/>
      <c r="L6" s="17">
        <v>18</v>
      </c>
      <c r="M6" s="33" t="s">
        <v>35</v>
      </c>
      <c r="N6" s="34"/>
    </row>
    <row r="7" spans="1:14" ht="18" customHeight="1" x14ac:dyDescent="0.2">
      <c r="A7" s="4"/>
      <c r="B7" s="36"/>
      <c r="C7" s="10">
        <f>IF(DAY(FebDom1)=1,FebDom1+15,FebDom1+22)</f>
        <v>43514</v>
      </c>
      <c r="D7" s="10">
        <f>IF(DAY(FebDom1)=1,FebDom1+16,FebDom1+23)</f>
        <v>43515</v>
      </c>
      <c r="E7" s="10">
        <f>IF(DAY(FebDom1)=1,FebDom1+17,FebDom1+24)</f>
        <v>43516</v>
      </c>
      <c r="F7" s="10">
        <f>IF(DAY(FebDom1)=1,FebDom1+18,FebDom1+25)</f>
        <v>43517</v>
      </c>
      <c r="G7" s="10">
        <f>IF(DAY(FebDom1)=1,FebDom1+19,FebDom1+26)</f>
        <v>43518</v>
      </c>
      <c r="H7" s="10">
        <f>IF(DAY(FebDom1)=1,FebDom1+20,FebDom1+27)</f>
        <v>43519</v>
      </c>
      <c r="I7" s="10">
        <f>IF(DAY(FebDom1)=1,FebDom1+21,FebDom1+28)</f>
        <v>43520</v>
      </c>
      <c r="J7" s="5"/>
      <c r="K7" s="11"/>
      <c r="L7" s="17">
        <v>25</v>
      </c>
      <c r="M7" s="33" t="s">
        <v>40</v>
      </c>
      <c r="N7" s="34"/>
    </row>
    <row r="8" spans="1:14" ht="18.75" customHeight="1" x14ac:dyDescent="0.2">
      <c r="A8" s="4"/>
      <c r="B8" s="36"/>
      <c r="C8" s="10">
        <f>IF(DAY(FebDom1)=1,FebDom1+22,FebDom1+29)</f>
        <v>43521</v>
      </c>
      <c r="D8" s="10">
        <f>IF(DAY(FebDom1)=1,FebDom1+23,FebDom1+30)</f>
        <v>43522</v>
      </c>
      <c r="E8" s="10">
        <f>IF(DAY(FebDom1)=1,FebDom1+24,FebDom1+31)</f>
        <v>43523</v>
      </c>
      <c r="F8" s="10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>
        <v>5</v>
      </c>
      <c r="M11" s="33" t="s">
        <v>32</v>
      </c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14</v>
      </c>
      <c r="M24" s="33" t="s">
        <v>34</v>
      </c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>
        <v>21</v>
      </c>
      <c r="M25" s="33" t="s">
        <v>38</v>
      </c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>
        <v>8</v>
      </c>
      <c r="M30" s="33" t="s">
        <v>33</v>
      </c>
      <c r="N30" s="34"/>
    </row>
    <row r="31" spans="2:14" ht="31.5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>
        <v>15</v>
      </c>
      <c r="M31" s="84" t="s">
        <v>37</v>
      </c>
      <c r="N31" s="85"/>
    </row>
    <row r="32" spans="2:14" ht="28.5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>
        <v>22</v>
      </c>
      <c r="M32" s="84" t="s">
        <v>36</v>
      </c>
      <c r="N32" s="85"/>
    </row>
    <row r="33" spans="2:14" ht="18" customHeight="1" x14ac:dyDescent="0.2">
      <c r="B33" s="86" t="s">
        <v>39</v>
      </c>
      <c r="C33" s="87"/>
      <c r="D33" s="87"/>
      <c r="E33" s="87"/>
      <c r="F33" s="87"/>
      <c r="G33" s="87"/>
      <c r="H33" s="87"/>
      <c r="I33" s="87"/>
      <c r="J33" s="88"/>
      <c r="K33" s="15"/>
      <c r="L33" s="20"/>
      <c r="M33" s="71"/>
      <c r="N33" s="72"/>
    </row>
  </sheetData>
  <mergeCells count="107"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33:N33"/>
    <mergeCell ref="M31:N31"/>
    <mergeCell ref="M32:N32"/>
    <mergeCell ref="B30:J32"/>
    <mergeCell ref="M29:N29"/>
    <mergeCell ref="M30:N30"/>
    <mergeCell ref="B33:J33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</mergeCells>
  <conditionalFormatting sqref="C4:H4">
    <cfRule type="expression" dxfId="54" priority="4" stopIfTrue="1">
      <formula>DAY(C4)&gt;8</formula>
    </cfRule>
  </conditionalFormatting>
  <conditionalFormatting sqref="C8:I10">
    <cfRule type="expression" dxfId="53" priority="3" stopIfTrue="1">
      <formula>AND(DAY(C8)&gt;=1,DAY(C8)&lt;=15)</formula>
    </cfRule>
  </conditionalFormatting>
  <conditionalFormatting sqref="C4:I9">
    <cfRule type="expression" dxfId="52" priority="5">
      <formula>VLOOKUP(DAY(C4),DíasDeTareas,1,FALSE)=DAY(C4)</formula>
    </cfRule>
  </conditionalFormatting>
  <conditionalFormatting sqref="B14:J29 B33">
    <cfRule type="expression" dxfId="51" priority="2">
      <formula>B14&lt;&gt;""</formula>
    </cfRule>
  </conditionalFormatting>
  <conditionalFormatting sqref="B30">
    <cfRule type="expression" dxfId="5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M37" sqref="M37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24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10">
        <f>IF(DAY(MarDom1)=1,MarDom1-2,MarDom1+5)</f>
        <v>43525</v>
      </c>
      <c r="H4" s="10">
        <f>IF(DAY(MarDom1)=1,MarDom1-1,MarDom1+6)</f>
        <v>43526</v>
      </c>
      <c r="I4" s="10">
        <f>IF(DAY(MarDom1)=1,MarDom1,MarDom1+7)</f>
        <v>43527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IF(DAY(MarDom1)=1,MarDom1+1,MarDom1+8)</f>
        <v>43528</v>
      </c>
      <c r="D5" s="10">
        <f>IF(DAY(MarDom1)=1,MarDom1+2,MarDom1+9)</f>
        <v>43529</v>
      </c>
      <c r="E5" s="10">
        <f>IF(DAY(MarDom1)=1,MarDom1+3,MarDom1+10)</f>
        <v>43530</v>
      </c>
      <c r="F5" s="10">
        <f>IF(DAY(MarDom1)=1,MarDom1+4,MarDom1+11)</f>
        <v>43531</v>
      </c>
      <c r="G5" s="10">
        <f>IF(DAY(MarDom1)=1,MarDom1+5,MarDom1+12)</f>
        <v>43532</v>
      </c>
      <c r="H5" s="10">
        <f>IF(DAY(MarDom1)=1,MarDom1+6,MarDom1+13)</f>
        <v>43533</v>
      </c>
      <c r="I5" s="10">
        <f>IF(DAY(MarDom1)=1,MarDom1+7,MarDom1+14)</f>
        <v>43534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IF(DAY(MarDom1)=1,MarDom1+8,MarDom1+15)</f>
        <v>43535</v>
      </c>
      <c r="D6" s="10">
        <f>IF(DAY(MarDom1)=1,MarDom1+9,MarDom1+16)</f>
        <v>43536</v>
      </c>
      <c r="E6" s="10">
        <f>IF(DAY(MarDom1)=1,MarDom1+10,MarDom1+17)</f>
        <v>43537</v>
      </c>
      <c r="F6" s="10">
        <f>IF(DAY(MarDom1)=1,MarDom1+11,MarDom1+18)</f>
        <v>43538</v>
      </c>
      <c r="G6" s="10">
        <f>IF(DAY(MarDom1)=1,MarDom1+12,MarDom1+19)</f>
        <v>43539</v>
      </c>
      <c r="H6" s="10">
        <f>IF(DAY(MarDom1)=1,MarDom1+13,MarDom1+20)</f>
        <v>43540</v>
      </c>
      <c r="I6" s="10">
        <f>IF(DAY(MarDom1)=1,MarDom1+14,MarDom1+21)</f>
        <v>43541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IF(DAY(MarDom1)=1,MarDom1+15,MarDom1+22)</f>
        <v>43542</v>
      </c>
      <c r="D7" s="10">
        <f>IF(DAY(MarDom1)=1,MarDom1+16,MarDom1+23)</f>
        <v>43543</v>
      </c>
      <c r="E7" s="10">
        <f>IF(DAY(MarDom1)=1,MarDom1+17,MarDom1+24)</f>
        <v>43544</v>
      </c>
      <c r="F7" s="10">
        <f>IF(DAY(MarDom1)=1,MarDom1+18,MarDom1+25)</f>
        <v>43545</v>
      </c>
      <c r="G7" s="10">
        <f>IF(DAY(MarDom1)=1,MarDom1+19,MarDom1+26)</f>
        <v>43546</v>
      </c>
      <c r="H7" s="10">
        <f>IF(DAY(MarDom1)=1,MarDom1+20,MarDom1+27)</f>
        <v>43547</v>
      </c>
      <c r="I7" s="10">
        <f>IF(DAY(MarDom1)=1,MarDom1+21,MarDom1+28)</f>
        <v>43548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IF(DAY(MarDom1)=1,MarDom1+22,MarDom1+29)</f>
        <v>43549</v>
      </c>
      <c r="D8" s="10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10">
        <f>IF(DAY(MarDom1)=1,MarDom1+26,MarDom1+33)</f>
        <v>43553</v>
      </c>
      <c r="H8" s="10">
        <f>IF(DAY(MarDom1)=1,MarDom1+27,MarDom1+34)</f>
        <v>43554</v>
      </c>
      <c r="I8" s="10">
        <f>IF(DAY(MarDom1)=1,MarDom1+28,MarDom1+35)</f>
        <v>43555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19</v>
      </c>
      <c r="M12" s="33" t="s">
        <v>43</v>
      </c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>
        <v>6</v>
      </c>
      <c r="M17" s="33" t="s">
        <v>35</v>
      </c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>
        <v>27</v>
      </c>
      <c r="M20" s="33" t="s">
        <v>45</v>
      </c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>
        <v>7</v>
      </c>
      <c r="M22" s="33" t="s">
        <v>41</v>
      </c>
      <c r="N22" s="34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30.75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21</v>
      </c>
      <c r="M24" s="89" t="s">
        <v>44</v>
      </c>
      <c r="N24" s="90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>
        <v>8</v>
      </c>
      <c r="M28" s="31" t="s">
        <v>42</v>
      </c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47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>
        <v>29</v>
      </c>
      <c r="M31" s="33" t="s">
        <v>46</v>
      </c>
      <c r="N31" s="34"/>
    </row>
    <row r="32" spans="2:14" ht="35.25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5">
      <formula>VLOOKUP(DAY(C4),DíasDeTareas,1,FALSE)=DAY(C4)</formula>
    </cfRule>
  </conditionalFormatting>
  <conditionalFormatting sqref="B14:J29 B33:J33">
    <cfRule type="expression" dxfId="46" priority="2">
      <formula>B14&lt;&gt;""</formula>
    </cfRule>
  </conditionalFormatting>
  <conditionalFormatting sqref="B30">
    <cfRule type="expression" dxfId="4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topLeftCell="A19" zoomScaleNormal="100" zoomScalePageLayoutView="84" workbookViewId="0">
      <selection activeCell="M33" sqref="M33:N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23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IF(DAY(AbrDom1)=1,AbrDom1-6,AbrDom1+1)</f>
        <v>43556</v>
      </c>
      <c r="D4" s="10">
        <f>IF(DAY(AbrDom1)=1,AbrDom1-5,AbrDom1+2)</f>
        <v>43557</v>
      </c>
      <c r="E4" s="10">
        <f>IF(DAY(AbrDom1)=1,AbrDom1-4,AbrDom1+3)</f>
        <v>43558</v>
      </c>
      <c r="F4" s="10">
        <f>IF(DAY(AbrDom1)=1,AbrDom1-3,AbrDom1+4)</f>
        <v>43559</v>
      </c>
      <c r="G4" s="10">
        <f>IF(DAY(AbrDom1)=1,AbrDom1-2,AbrDom1+5)</f>
        <v>43560</v>
      </c>
      <c r="H4" s="10">
        <f>IF(DAY(AbrDom1)=1,AbrDom1-1,AbrDom1+6)</f>
        <v>43561</v>
      </c>
      <c r="I4" s="10">
        <f>IF(DAY(AbrDom1)=1,AbrDom1,AbrDom1+7)</f>
        <v>43562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IF(DAY(AbrDom1)=1,AbrDom1+1,AbrDom1+8)</f>
        <v>43563</v>
      </c>
      <c r="D5" s="10">
        <f>IF(DAY(AbrDom1)=1,AbrDom1+2,AbrDom1+9)</f>
        <v>43564</v>
      </c>
      <c r="E5" s="10">
        <f>IF(DAY(AbrDom1)=1,AbrDom1+3,AbrDom1+10)</f>
        <v>43565</v>
      </c>
      <c r="F5" s="10">
        <f>IF(DAY(AbrDom1)=1,AbrDom1+4,AbrDom1+11)</f>
        <v>43566</v>
      </c>
      <c r="G5" s="10">
        <f>IF(DAY(AbrDom1)=1,AbrDom1+5,AbrDom1+12)</f>
        <v>43567</v>
      </c>
      <c r="H5" s="10">
        <f>IF(DAY(AbrDom1)=1,AbrDom1+6,AbrDom1+13)</f>
        <v>43568</v>
      </c>
      <c r="I5" s="10">
        <f>IF(DAY(AbrDom1)=1,AbrDom1+7,AbrDom1+14)</f>
        <v>43569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IF(DAY(AbrDom1)=1,AbrDom1+8,AbrDom1+15)</f>
        <v>43570</v>
      </c>
      <c r="D6" s="10">
        <f>IF(DAY(AbrDom1)=1,AbrDom1+9,AbrDom1+16)</f>
        <v>43571</v>
      </c>
      <c r="E6" s="10">
        <f>IF(DAY(AbrDom1)=1,AbrDom1+10,AbrDom1+17)</f>
        <v>43572</v>
      </c>
      <c r="F6" s="10">
        <f>IF(DAY(AbrDom1)=1,AbrDom1+11,AbrDom1+18)</f>
        <v>43573</v>
      </c>
      <c r="G6" s="10">
        <f>IF(DAY(AbrDom1)=1,AbrDom1+12,AbrDom1+19)</f>
        <v>43574</v>
      </c>
      <c r="H6" s="10">
        <f>IF(DAY(AbrDom1)=1,AbrDom1+13,AbrDom1+20)</f>
        <v>43575</v>
      </c>
      <c r="I6" s="10">
        <f>IF(DAY(AbrDom1)=1,AbrDom1+14,AbrDom1+21)</f>
        <v>43576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IF(DAY(AbrDom1)=1,AbrDom1+15,AbrDom1+22)</f>
        <v>43577</v>
      </c>
      <c r="D7" s="10">
        <f>IF(DAY(AbrDom1)=1,AbrDom1+16,AbrDom1+23)</f>
        <v>43578</v>
      </c>
      <c r="E7" s="10">
        <f>IF(DAY(AbrDom1)=1,AbrDom1+17,AbrDom1+24)</f>
        <v>43579</v>
      </c>
      <c r="F7" s="10">
        <f>IF(DAY(AbrDom1)=1,AbrDom1+18,AbrDom1+25)</f>
        <v>43580</v>
      </c>
      <c r="G7" s="10">
        <f>IF(DAY(AbrDom1)=1,AbrDom1+19,AbrDom1+26)</f>
        <v>43581</v>
      </c>
      <c r="H7" s="10">
        <f>IF(DAY(AbrDom1)=1,AbrDom1+20,AbrDom1+27)</f>
        <v>43582</v>
      </c>
      <c r="I7" s="10">
        <f>IF(DAY(AbrDom1)=1,AbrDom1+21,AbrDom1+28)</f>
        <v>43583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IF(DAY(AbrDom1)=1,AbrDom1+22,AbrDom1+29)</f>
        <v>43584</v>
      </c>
      <c r="D8" s="10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>
        <v>30</v>
      </c>
      <c r="M14" s="33" t="s">
        <v>49</v>
      </c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38.25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>
        <v>3</v>
      </c>
      <c r="M16" s="27" t="s">
        <v>48</v>
      </c>
      <c r="N16" s="28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>
        <v>24</v>
      </c>
      <c r="M19" s="33" t="s">
        <v>51</v>
      </c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>
        <v>4</v>
      </c>
      <c r="M22" s="31" t="s">
        <v>50</v>
      </c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>
        <v>25</v>
      </c>
      <c r="M31" s="33" t="s">
        <v>52</v>
      </c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0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4" priority="4" stopIfTrue="1">
      <formula>DAY(C4)&gt;8</formula>
    </cfRule>
  </conditionalFormatting>
  <conditionalFormatting sqref="C8:I10">
    <cfRule type="expression" dxfId="43" priority="3" stopIfTrue="1">
      <formula>AND(DAY(C8)&gt;=1,DAY(C8)&lt;=15)</formula>
    </cfRule>
  </conditionalFormatting>
  <conditionalFormatting sqref="C4:I9">
    <cfRule type="expression" dxfId="42" priority="5">
      <formula>VLOOKUP(DAY(C4),DíasDeTareas,1,FALSE)=DAY(C4)</formula>
    </cfRule>
  </conditionalFormatting>
  <conditionalFormatting sqref="B14:J29 B33:J33">
    <cfRule type="expression" dxfId="41" priority="2">
      <formula>B14&lt;&gt;""</formula>
    </cfRule>
  </conditionalFormatting>
  <conditionalFormatting sqref="B30">
    <cfRule type="expression" dxfId="4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31" zoomScaleNormal="100" zoomScalePageLayoutView="84" workbookViewId="0">
      <selection activeCell="L5" sqref="L5:N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22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IF(DAY(MayDom1)=1,MayDom1-6,MayDom1+1)</f>
        <v>43584</v>
      </c>
      <c r="D4" s="10">
        <f>IF(DAY(MayDom1)=1,MayDom1-5,MayDom1+2)</f>
        <v>43585</v>
      </c>
      <c r="E4" s="10">
        <f>IF(DAY(MayDom1)=1,MayDom1-4,MayDom1+3)</f>
        <v>43586</v>
      </c>
      <c r="F4" s="10">
        <f>IF(DAY(MayDom1)=1,MayDom1-3,MayDom1+4)</f>
        <v>43587</v>
      </c>
      <c r="G4" s="10">
        <f>IF(DAY(MayDom1)=1,MayDom1-2,MayDom1+5)</f>
        <v>43588</v>
      </c>
      <c r="H4" s="10">
        <f>IF(DAY(MayDom1)=1,MayDom1-1,MayDom1+6)</f>
        <v>43589</v>
      </c>
      <c r="I4" s="10">
        <f>IF(DAY(MayDom1)=1,MayDom1,MayDom1+7)</f>
        <v>43590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IF(DAY(MayDom1)=1,MayDom1+1,MayDom1+8)</f>
        <v>43591</v>
      </c>
      <c r="D5" s="10">
        <f>IF(DAY(MayDom1)=1,MayDom1+2,MayDom1+9)</f>
        <v>43592</v>
      </c>
      <c r="E5" s="10">
        <f>IF(DAY(MayDom1)=1,MayDom1+3,MayDom1+10)</f>
        <v>43593</v>
      </c>
      <c r="F5" s="10">
        <f>IF(DAY(MayDom1)=1,MayDom1+4,MayDom1+11)</f>
        <v>43594</v>
      </c>
      <c r="G5" s="10">
        <f>IF(DAY(MayDom1)=1,MayDom1+5,MayDom1+12)</f>
        <v>43595</v>
      </c>
      <c r="H5" s="10">
        <f>IF(DAY(MayDom1)=1,MayDom1+6,MayDom1+13)</f>
        <v>43596</v>
      </c>
      <c r="I5" s="10">
        <f>IF(DAY(MayDom1)=1,MayDom1+7,MayDom1+14)</f>
        <v>43597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IF(DAY(MayDom1)=1,MayDom1+8,MayDom1+15)</f>
        <v>43598</v>
      </c>
      <c r="D6" s="10">
        <f>IF(DAY(MayDom1)=1,MayDom1+9,MayDom1+16)</f>
        <v>43599</v>
      </c>
      <c r="E6" s="10">
        <f>IF(DAY(MayDom1)=1,MayDom1+10,MayDom1+17)</f>
        <v>43600</v>
      </c>
      <c r="F6" s="10">
        <f>IF(DAY(MayDom1)=1,MayDom1+11,MayDom1+18)</f>
        <v>43601</v>
      </c>
      <c r="G6" s="10">
        <f>IF(DAY(MayDom1)=1,MayDom1+12,MayDom1+19)</f>
        <v>43602</v>
      </c>
      <c r="H6" s="10">
        <f>IF(DAY(MayDom1)=1,MayDom1+13,MayDom1+20)</f>
        <v>43603</v>
      </c>
      <c r="I6" s="10">
        <f>IF(DAY(MayDom1)=1,MayDom1+14,MayDom1+21)</f>
        <v>43604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IF(DAY(MayDom1)=1,MayDom1+15,MayDom1+22)</f>
        <v>43605</v>
      </c>
      <c r="D7" s="10">
        <f>IF(DAY(MayDom1)=1,MayDom1+16,MayDom1+23)</f>
        <v>43606</v>
      </c>
      <c r="E7" s="10">
        <f>IF(DAY(MayDom1)=1,MayDom1+17,MayDom1+24)</f>
        <v>43607</v>
      </c>
      <c r="F7" s="10">
        <f>IF(DAY(MayDom1)=1,MayDom1+18,MayDom1+25)</f>
        <v>43608</v>
      </c>
      <c r="G7" s="10">
        <f>IF(DAY(MayDom1)=1,MayDom1+19,MayDom1+26)</f>
        <v>43609</v>
      </c>
      <c r="H7" s="10">
        <f>IF(DAY(MayDom1)=1,MayDom1+20,MayDom1+27)</f>
        <v>43610</v>
      </c>
      <c r="I7" s="10">
        <f>IF(DAY(MayDom1)=1,MayDom1+21,MayDom1+28)</f>
        <v>43611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47.25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27"/>
      <c r="N17" s="28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25.5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27"/>
      <c r="N29" s="28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09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30:N30"/>
  </mergeCells>
  <conditionalFormatting sqref="C4:H4">
    <cfRule type="expression" dxfId="39" priority="4" stopIfTrue="1">
      <formula>DAY(C4)&gt;8</formula>
    </cfRule>
  </conditionalFormatting>
  <conditionalFormatting sqref="C8:I10">
    <cfRule type="expression" dxfId="38" priority="3" stopIfTrue="1">
      <formula>AND(DAY(C8)&gt;=1,DAY(C8)&lt;=15)</formula>
    </cfRule>
  </conditionalFormatting>
  <conditionalFormatting sqref="C4:I9">
    <cfRule type="expression" dxfId="37" priority="5">
      <formula>VLOOKUP(DAY(C4),DíasDeTareas,1,FALSE)=DAY(C4)</formula>
    </cfRule>
  </conditionalFormatting>
  <conditionalFormatting sqref="B14:J29 B33:J33">
    <cfRule type="expression" dxfId="36" priority="2">
      <formula>B14&lt;&gt;""</formula>
    </cfRule>
  </conditionalFormatting>
  <conditionalFormatting sqref="B30">
    <cfRule type="expression" dxfId="3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7" zoomScaleNormal="100" zoomScalePageLayoutView="84" workbookViewId="0">
      <selection activeCell="L4" sqref="L4:N34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21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10">
        <f>IF(DAY(JunDom1)=1,JunDom1-1,JunDom1+6)</f>
        <v>43617</v>
      </c>
      <c r="I4" s="10">
        <f>IF(DAY(JunDom1)=1,JunDom1,JunDom1+7)</f>
        <v>43618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10">
        <f>IF(DAY(JunDom1)=1,JunDom1+6,JunDom1+13)</f>
        <v>43624</v>
      </c>
      <c r="I5" s="10">
        <f>IF(DAY(JunDom1)=1,JunDom1+7,JunDom1+14)</f>
        <v>43625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10">
        <f>IF(DAY(JunDom1)=1,JunDom1+13,JunDom1+20)</f>
        <v>43631</v>
      </c>
      <c r="I6" s="10">
        <f>IF(DAY(JunDom1)=1,JunDom1+14,JunDom1+21)</f>
        <v>43632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10">
        <f>IF(DAY(JunDom1)=1,JunDom1+20,JunDom1+27)</f>
        <v>43638</v>
      </c>
      <c r="I7" s="10">
        <f>IF(DAY(JunDom1)=1,JunDom1+21,JunDom1+28)</f>
        <v>43639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10">
        <f>IF(DAY(JunDom1)=1,JunDom1+27,JunDom1+34)</f>
        <v>43645</v>
      </c>
      <c r="I8" s="10">
        <f>IF(DAY(JunDom1)=1,JunDom1+28,JunDom1+35)</f>
        <v>43646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34" priority="4" stopIfTrue="1">
      <formula>DAY(C4)&gt;8</formula>
    </cfRule>
  </conditionalFormatting>
  <conditionalFormatting sqref="C8:I10">
    <cfRule type="expression" dxfId="33" priority="3" stopIfTrue="1">
      <formula>AND(DAY(C8)&gt;=1,DAY(C8)&lt;=15)</formula>
    </cfRule>
  </conditionalFormatting>
  <conditionalFormatting sqref="C4:I9">
    <cfRule type="expression" dxfId="32" priority="5">
      <formula>VLOOKUP(DAY(C4),DíasDeTareas,1,FALSE)=DAY(C4)</formula>
    </cfRule>
  </conditionalFormatting>
  <conditionalFormatting sqref="B14:J29 B33:J33">
    <cfRule type="expression" dxfId="31" priority="2">
      <formula>B14&lt;&gt;""</formula>
    </cfRule>
  </conditionalFormatting>
  <conditionalFormatting sqref="B30">
    <cfRule type="expression" dxfId="3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L7" sqref="L7:N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20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f>IF(DAY(JulDom1)=1,JulDom1-3,JulDom1+4)</f>
        <v>43650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29" priority="4" stopIfTrue="1">
      <formula>DAY(C4)&gt;8</formula>
    </cfRule>
  </conditionalFormatting>
  <conditionalFormatting sqref="C8:I10">
    <cfRule type="expression" dxfId="28" priority="3" stopIfTrue="1">
      <formula>AND(DAY(C8)&gt;=1,DAY(C8)&lt;=15)</formula>
    </cfRule>
  </conditionalFormatting>
  <conditionalFormatting sqref="C4:I9">
    <cfRule type="expression" dxfId="27" priority="5">
      <formula>VLOOKUP(DAY(C4),DíasDeTareas,1,FALSE)=DAY(C4)</formula>
    </cfRule>
  </conditionalFormatting>
  <conditionalFormatting sqref="B14:J29 B33:J33">
    <cfRule type="expression" dxfId="26" priority="2">
      <formula>B14&lt;&gt;""</formula>
    </cfRule>
  </conditionalFormatting>
  <conditionalFormatting sqref="B30">
    <cfRule type="expression" dxfId="2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L7" sqref="L7:N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35" t="s">
        <v>19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33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27"/>
      <c r="N24" s="28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0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 B33:J33">
    <cfRule type="expression" dxfId="21" priority="2">
      <formula>B14&lt;&gt;""</formula>
    </cfRule>
  </conditionalFormatting>
  <conditionalFormatting sqref="B30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4" zoomScaleNormal="100" zoomScalePageLayoutView="84" workbookViewId="0">
      <selection activeCell="M31" sqref="M31:N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18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77" t="s">
        <v>11</v>
      </c>
      <c r="L4" s="16"/>
      <c r="M4" s="78"/>
      <c r="N4" s="79"/>
    </row>
    <row r="5" spans="1:14" ht="18" customHeight="1" x14ac:dyDescent="0.2">
      <c r="A5" s="4"/>
      <c r="B5" s="36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12</v>
      </c>
      <c r="L10" s="16"/>
      <c r="M10" s="31"/>
      <c r="N10" s="32"/>
    </row>
    <row r="11" spans="1:14" ht="18" customHeight="1" x14ac:dyDescent="0.2">
      <c r="A11" s="4"/>
      <c r="B11" s="38" t="s">
        <v>10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11</v>
      </c>
      <c r="C13" s="67" t="s">
        <v>12</v>
      </c>
      <c r="D13" s="69"/>
      <c r="E13" s="67" t="s">
        <v>13</v>
      </c>
      <c r="F13" s="69"/>
      <c r="G13" s="67" t="s">
        <v>14</v>
      </c>
      <c r="H13" s="69"/>
      <c r="I13" s="67" t="s">
        <v>15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13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14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15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29 B33:J33">
    <cfRule type="expression" dxfId="16" priority="2">
      <formula>B14&lt;&gt;""</formula>
    </cfRule>
  </conditionalFormatting>
  <conditionalFormatting sqref="B30">
    <cfRule type="expression" dxfId="1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ROSALIA</cp:lastModifiedBy>
  <cp:lastPrinted>2010-12-16T21:23:33Z</cp:lastPrinted>
  <dcterms:created xsi:type="dcterms:W3CDTF">2015-11-13T18:10:35Z</dcterms:created>
  <dcterms:modified xsi:type="dcterms:W3CDTF">2020-06-09T23:48:10Z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