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firstSheet="1" activeTab="8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Abril!$A$1:$M$51</definedName>
    <definedName name="_xlnm.Print_Area" localSheetId="7">Agosto!$A$1:$M$54</definedName>
    <definedName name="_xlnm.Print_Area" localSheetId="11">Diciembre!$A$1:$M$50</definedName>
    <definedName name="_xlnm.Print_Area" localSheetId="0">Enero!$A$1:$M$50</definedName>
    <definedName name="_xlnm.Print_Area" localSheetId="1">Febrero!$A$1:$M$52</definedName>
    <definedName name="_xlnm.Print_Area" localSheetId="6">Julio!$A$1:$M$53</definedName>
    <definedName name="_xlnm.Print_Area" localSheetId="5">Junio!$A$1:$M$52</definedName>
    <definedName name="_xlnm.Print_Area" localSheetId="2">Marzo!$A$1:$M$50</definedName>
    <definedName name="_xlnm.Print_Area" localSheetId="4">Mayo!$A$1:$M$52</definedName>
    <definedName name="_xlnm.Print_Area" localSheetId="10">Noviembre!$A$1:$M$55</definedName>
    <definedName name="_xlnm.Print_Area" localSheetId="9">Octubre!$A$1:$M$53</definedName>
    <definedName name="_xlnm.Print_Area" localSheetId="8">Septiembre!$A$1:$M$55</definedName>
    <definedName name="DíasDeTareas" localSheetId="3">Abril!$L$4:$L$34</definedName>
    <definedName name="DíasDeTareas" localSheetId="7">Agosto!$L$4:$L$37</definedName>
    <definedName name="DíasDeTareas" localSheetId="11">Diciembre!$L$4:$L$33</definedName>
    <definedName name="DíasDeTareas" localSheetId="1">Febrero!$L$4:$L$35</definedName>
    <definedName name="DíasDeTareas" localSheetId="6">Julio!$L$4:$L$36</definedName>
    <definedName name="DíasDeTareas" localSheetId="5">Junio!$L$4:$L$35</definedName>
    <definedName name="DíasDeTareas" localSheetId="2">Marzo!$L$4:$L$33</definedName>
    <definedName name="DíasDeTareas" localSheetId="4">Mayo!$L$4:$L$35</definedName>
    <definedName name="DíasDeTareas" localSheetId="10">Noviembre!$L$4:$L$37</definedName>
    <definedName name="DíasDeTareas" localSheetId="9">Octubre!$L$4:$L$36</definedName>
    <definedName name="DíasDeTareas" localSheetId="8">Septiembre!$L$4:$L$38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<sst xmlns="http://schemas.openxmlformats.org/spreadsheetml/2006/main" count="454" uniqueCount="199">
  <si>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</si>
  <si>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</si>
  <si>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</si>
  <si>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</si>
  <si>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</si>
  <si>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</si>
  <si>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</si>
  <si>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</si>
  <si>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</si>
  <si>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</si>
  <si>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</si>
  <si>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</si>
  <si>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</si>
  <si>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</si>
  <si>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</si>
  <si>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</si>
  <si>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</si>
  <si>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</si>
  <si>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</si>
  <si>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</si>
  <si>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</si>
  <si>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</si>
  <si>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</si>
  <si>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</si>
  <si>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</si>
  <si>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</si>
  <si>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 xml:space="preserve">Elaboración de contratos </t>
  </si>
  <si>
    <t>SÁB.</t>
  </si>
  <si>
    <t>DOM.</t>
  </si>
  <si>
    <t xml:space="preserve">Reunión con candidatas a reina del carnaval, Reunión con el Presidente </t>
  </si>
  <si>
    <t xml:space="preserve">Partida rosca de reyes y petición de las fiestas de Carnaval </t>
  </si>
  <si>
    <t xml:space="preserve">Quitar el nacimiento, Reunión con el maestro Alejandro Lazarinni </t>
  </si>
  <si>
    <t xml:space="preserve">Reunión con el maestro Agustín Pérez, Entrega de moviliario en Quila </t>
  </si>
  <si>
    <t xml:space="preserve">Reunión con Rosy Preciado, Reunión con los maestros Hugo Soto, Vicente Lepe y Luis Enrique </t>
  </si>
  <si>
    <t xml:space="preserve">Salida a Guadalajara </t>
  </si>
  <si>
    <t xml:space="preserve">Respuesta del Carnaval </t>
  </si>
  <si>
    <t xml:space="preserve">Arranque clases de la Escula de Música </t>
  </si>
  <si>
    <t xml:space="preserve">Reunión con padres de familia </t>
  </si>
  <si>
    <t xml:space="preserve">Reunión con Presidente </t>
  </si>
  <si>
    <t xml:space="preserve">Reunión con el maestro Sebastian, Pendientes en oficina </t>
  </si>
  <si>
    <t xml:space="preserve">Reunión ECOS en Tamazulita, Ayotitlán y San José </t>
  </si>
  <si>
    <t xml:space="preserve">Reunión con el maestro Alejandro Lazarinni, Reunión con el Presidente </t>
  </si>
  <si>
    <t xml:space="preserve">Elaboración de oficios </t>
  </si>
  <si>
    <t xml:space="preserve">Reunión en Quila con el taller de música </t>
  </si>
  <si>
    <t xml:space="preserve">Reunión con el Presidente </t>
  </si>
  <si>
    <t>Elaboración de oficios, Reunión con el Presidente</t>
  </si>
  <si>
    <t xml:space="preserve">Visita a la coordinadora del Cecitej Ayotitlán </t>
  </si>
  <si>
    <t xml:space="preserve">Elaboración de oficios para eventos culturales en carnaval </t>
  </si>
  <si>
    <t>Revisión Escuela de Música Tecolotlán</t>
  </si>
  <si>
    <t xml:space="preserve">Nota: as actividades frecuentes de la Dirección de Cultura son la organización de eventos culturales, el seguimiento a los Talleres Artísticos, a la Escuela de Música, las clases de Canto, recibir y entregar oficios varios. </t>
  </si>
  <si>
    <t>Elaboración de oficios</t>
  </si>
  <si>
    <t>Honores a la Bandera, Reunión Secretaría del Transporte</t>
  </si>
  <si>
    <t xml:space="preserve">Casting del Coro Infantil y Juvenil </t>
  </si>
  <si>
    <t xml:space="preserve">Nota:  las actividades frecuentes de la Dirección de Cultura son la organización de eventos culturales, el seguimiento a los Talleres Artísticos, a la Escuela de Música, las clases de Canto, recibir y entregar oficios varios. </t>
  </si>
  <si>
    <t>Reunión Informativa ECOS, Reunión con los padres de familia de los alumnos del coro, Reunión con el Presidente</t>
  </si>
  <si>
    <t xml:space="preserve">Reunión con maestros de ECOS </t>
  </si>
  <si>
    <t xml:space="preserve">Reunión con el maestro Agustín </t>
  </si>
  <si>
    <t xml:space="preserve">Reunión con el Presidente y Rosy Preciado </t>
  </si>
  <si>
    <t>Reunión de Programas ECOS</t>
  </si>
  <si>
    <t>Asuntos pendientes en oficina</t>
  </si>
  <si>
    <t>Reunión Dr. Carlos</t>
  </si>
  <si>
    <t>Reunión de trabajo</t>
  </si>
  <si>
    <t xml:space="preserve">Desfile Entierro del Mal Humor </t>
  </si>
  <si>
    <t>Evento Cultural</t>
  </si>
  <si>
    <t xml:space="preserve">Reunión Regional de Cultura, Evento Cultural </t>
  </si>
  <si>
    <t xml:space="preserve">Asuntos Pendientes en oficina </t>
  </si>
  <si>
    <t xml:space="preserve">Salida a Patzcuaro, Michoacán </t>
  </si>
  <si>
    <t xml:space="preserve">Patzcuaro, Michoacán </t>
  </si>
  <si>
    <t xml:space="preserve">Reunión Proulex Tecolotlán </t>
  </si>
  <si>
    <t xml:space="preserve">Reunión con la señora Michela Maravilla, reunión Cecitej Cocula </t>
  </si>
  <si>
    <t xml:space="preserve">Conferencia </t>
  </si>
  <si>
    <t xml:space="preserve">Visita a Escuela de Música, Entregar oficios pendientes en Tesorería </t>
  </si>
  <si>
    <t>Sesión Somemne del Congreso del Estado, Evento Cultural</t>
  </si>
  <si>
    <t xml:space="preserve">Reunión con maestros </t>
  </si>
  <si>
    <t>6to. Festival del Mariachi</t>
  </si>
  <si>
    <t xml:space="preserve">Registro de Candidatas a Reina del Carnaval </t>
  </si>
  <si>
    <t xml:space="preserve">Desayuno ETA escoltas, Reunión Patronato del Carnaval </t>
  </si>
  <si>
    <t>Reunión con directores de Jardín de Niños y Primarias, Reunipon del Patronato del Carnaval</t>
  </si>
  <si>
    <t>Reunión con la Diputada Monica Almeida</t>
  </si>
  <si>
    <t xml:space="preserve">Organización del Desfile del entierro del mal humor </t>
  </si>
  <si>
    <t>Reunión RECREA, Sesión de Ayuntamiento, Rueda de Prensa Presentación de Programa Aniversario de Fundación de Tecolotl´na y 6° Festival del Mariachi</t>
  </si>
  <si>
    <t xml:space="preserve">Envio de curriculums de profesores a Secretaría de Cultura </t>
  </si>
  <si>
    <t xml:space="preserve">Avisar a las escuelas sobre el casting del Coro Municipal y realización de oficios </t>
  </si>
  <si>
    <t xml:space="preserve">Reunión Patrimonio en Cultura Jalisco, Evento Cultural </t>
  </si>
  <si>
    <t xml:space="preserve">Visita a Escuelas Primarias para Casting de Canto. Evento Cultural </t>
  </si>
  <si>
    <t>Desfile de Inauguración 6to. Festival del Mariachi</t>
  </si>
  <si>
    <t xml:space="preserve">6to. Festival del Mariachi </t>
  </si>
  <si>
    <t xml:space="preserve">Sesión de Ayuntamiento </t>
  </si>
  <si>
    <t>Preparar actividad del Día Mundial del Libro</t>
  </si>
  <si>
    <t xml:space="preserve">Ver asuntos sobre el camión escolar </t>
  </si>
  <si>
    <t xml:space="preserve">Reunión con maestro Agustín </t>
  </si>
  <si>
    <t>Reunión con Patronato Carnaval, Elaboración de lista de personas para el Consejo Municipal de Cultura</t>
  </si>
  <si>
    <t xml:space="preserve">Reunión de Directores, Sesión de Ayuntamiento </t>
  </si>
  <si>
    <t xml:space="preserve">Toma de Protesta Mtro. Chicho </t>
  </si>
  <si>
    <t xml:space="preserve">Asuntos pendientes sobre Apoyo al Transporte </t>
  </si>
  <si>
    <t xml:space="preserve">Evento del Día de las Madres </t>
  </si>
  <si>
    <t xml:space="preserve">Presentación Cultural en Villegas </t>
  </si>
  <si>
    <t>Reunión de Patrimonio Cultural, Festejo del Día del Maestro</t>
  </si>
  <si>
    <t xml:space="preserve">Reina Regional del Adulto Mayor, Evento Cultural en Ambrosio, Reunión de elección de Consejo Municipal de Cultura y las Artes </t>
  </si>
  <si>
    <t xml:space="preserve">Salida a Guadalajara a entregar oficios </t>
  </si>
  <si>
    <t xml:space="preserve">Elaboración de Acta del Consejo Municipal de Cultura y las Artes, Reunión con Tesorero </t>
  </si>
  <si>
    <t>Recabar firmas del Acta de Integración Consejo Municipal de Cultura y las Artes</t>
  </si>
  <si>
    <t>Casting para Escuelas invitando al Coro Municipal</t>
  </si>
  <si>
    <t xml:space="preserve">Hablar a las escuelas para Casting del Coro Municipal, Elaboración de ficha para reunión </t>
  </si>
  <si>
    <t xml:space="preserve">Reunión con Regidora de Cultura, Casting en Escuelas para el Coro Municipal </t>
  </si>
  <si>
    <t xml:space="preserve">Domingo Cultural </t>
  </si>
  <si>
    <t xml:space="preserve">Elaboración de contratos. Reunión Patronato DIF </t>
  </si>
  <si>
    <t>Reunión con Arq. Mayte Macias.</t>
  </si>
  <si>
    <t xml:space="preserve">Programar Eventos Culturales </t>
  </si>
  <si>
    <t>Marcha anti dengue</t>
  </si>
  <si>
    <t>Reunión del Coro Municipal</t>
  </si>
  <si>
    <t xml:space="preserve">Entrega de oficios en Presidencia, Envio de oficios a Secretaría de Cultura Jalisco </t>
  </si>
  <si>
    <t>Inauguración Recicla contra el Cáncer, Reunión Presidente y Directores</t>
  </si>
  <si>
    <t>Elaboración de oficios, Revision de Proyecta Traslados</t>
  </si>
  <si>
    <t xml:space="preserve">Reunión padres de familia ballet Folklorico y ECOS </t>
  </si>
  <si>
    <t>Salida a Secretaria de Cultura Jalisco a las audiciones de maestros ECOS</t>
  </si>
  <si>
    <t xml:space="preserve">Seguimiento al Programa Proyecta Traslados </t>
  </si>
  <si>
    <t xml:space="preserve">Revisión de documentos para el Programa Proyecta Traslados </t>
  </si>
  <si>
    <t xml:space="preserve">Salida a Guadalajara a Secretaría de Cultura </t>
  </si>
  <si>
    <t>Elaboración de oficios, Reunión padres de familia ballet Folklorico y visita a  Escuela de Música ECOS</t>
  </si>
  <si>
    <t xml:space="preserve">Reforestación </t>
  </si>
  <si>
    <t xml:space="preserve">Toma de Protesta Consejo Municipal de Cultura y las Artes </t>
  </si>
  <si>
    <t xml:space="preserve">Entrega de Informe de Actividades </t>
  </si>
  <si>
    <t xml:space="preserve">Salida a Guadalajara a Proyecta Traslados </t>
  </si>
  <si>
    <t xml:space="preserve">Salida a Quila Inauguración de Recicla contra el Cáncer </t>
  </si>
  <si>
    <t xml:space="preserve">Reunión con padres de familia de los alumnos seleccionados al Viaje a loa Angeles California, Evento Cultural en Ojo de Agua  </t>
  </si>
  <si>
    <t>Reunión Regional de Cultura en Tenamaxtlán, Presentación de ballet Folklorico y Charreria en el Limón</t>
  </si>
  <si>
    <t xml:space="preserve">Reunión de Directores, Llevar oficios y contratos a Presidencia </t>
  </si>
  <si>
    <t xml:space="preserve">Ver lo de la cita para pasaporte de los alumnos que irán al viaje a los Angeles </t>
  </si>
  <si>
    <t>Elaboración de Convocatoria del Consejo de Cultura, Evento Cultural en Quila</t>
  </si>
  <si>
    <t xml:space="preserve">Evento Programa Municipal de Prevención </t>
  </si>
  <si>
    <t xml:space="preserve">Sesión Ordinaria Número 1 Consejo Municipal de Cultura y las Artes </t>
  </si>
  <si>
    <t>Salida a Guadalajara a  Secretaría de Cultura, Reunión de Directores</t>
  </si>
  <si>
    <t xml:space="preserve">Elaboración de oficios para eventos culturales </t>
  </si>
  <si>
    <t xml:space="preserve">Convocar a los padres de familia de los que fueron seleccionados al viaje a los Angeles a reunión </t>
  </si>
  <si>
    <t xml:space="preserve">Elaboración de oficios y contratos, Reunion de padres de familia para el viaje a los Angeles </t>
  </si>
  <si>
    <t xml:space="preserve">Salida a Guadalajara a Secretaria de Cultura </t>
  </si>
  <si>
    <t>Domingo Cultural</t>
  </si>
  <si>
    <t>Elaboración de Programa Cultural Fiestas de Agosto, Enviar información a Secretaría de Cultura</t>
  </si>
  <si>
    <t xml:space="preserve">Hablar a Secretaría de Cultura ECOS, Reunión con padres de familia ballet Folklorico, Asistir a Capacitación </t>
  </si>
  <si>
    <t>Entregar oficios en Tesorería</t>
  </si>
  <si>
    <t xml:space="preserve">Reunión informatica Escuela de Música ECOS </t>
  </si>
  <si>
    <t>Evento Cultural en Cofradía de Duendes</t>
  </si>
  <si>
    <t xml:space="preserve">Capacitación Equidad de Género </t>
  </si>
  <si>
    <t xml:space="preserve">Evento Cultural Fraccionamiento Sierra de Quila </t>
  </si>
  <si>
    <t>Seguimiento al Convenio de Talleres Artisticos de la Casa de la Cultura</t>
  </si>
  <si>
    <t xml:space="preserve">Tramites de visas para viaje a Estados Unidos </t>
  </si>
  <si>
    <t>Reunion con Presidente y Alan Alvarado, Reunión con mesa directiva viaje a Estados Unidos</t>
  </si>
  <si>
    <t xml:space="preserve">Salida a Autlán para tramite de pasaporte mexicano alumnos Mariachi ECOS, Evento Cultural en el Fraccionamientos Sierra de Quila </t>
  </si>
  <si>
    <t xml:space="preserve">Reunión con Directiva del Viaje a los Ángeles, California, Reunión con Presidente </t>
  </si>
  <si>
    <t>Programación de eventos Culturales Fiestas de Agosto, Elaboración de Convocatoria a 2da. Sesión Ordinaria del COMUCA</t>
  </si>
  <si>
    <t xml:space="preserve">Recabar los documentos de los seleccionados viaje a Colombia </t>
  </si>
  <si>
    <t xml:space="preserve">Salida a Guadalajara, 2da. Sesión Ordinaria del Consejo Municipal de Cultura y las Artes </t>
  </si>
  <si>
    <t>1er. Periodo Vacacional del 29 de julio al 09 de agosto</t>
  </si>
  <si>
    <t xml:space="preserve">1er. Periodo Vacacional del 26 de julio al 09 de agosto </t>
  </si>
  <si>
    <t>1er. Periodo Vacacional del 26 de julio al 09 de agosto</t>
  </si>
  <si>
    <t>1er. Peridio Vacacional del 26 de julio al 09 de agosto</t>
  </si>
  <si>
    <t>Confirmar transporte para el jueves 15 a Guadalajara , Avisar a los alumnos el inicio de clases en Proulex</t>
  </si>
  <si>
    <t>Reunión con los que tramitaron las Visas</t>
  </si>
  <si>
    <t xml:space="preserve">Ver Presupuesto del Programa Cultural Fiestas de Agosto, ver detalles del escenario del Programa Cultural </t>
  </si>
  <si>
    <t>Reunión con Rosy Preciado, Reunión Mesa Directiva, 3ra. Sesión Ordinaria del Consejo Municipal de Cultura y las Artes</t>
  </si>
  <si>
    <t xml:space="preserve">Citar a reunión a los que tramitaron la visa, Reunión de padres de familia viaje </t>
  </si>
  <si>
    <t xml:space="preserve">Evento Cultural en Ayotitlán </t>
  </si>
  <si>
    <t>Nota:  las actividades frecuentes de la Dirección de Cultura son la organización de eventos culturales, el seguimiento a los Talleres Artísticos, a la Escuela de Música, las clases de Canto, recibir y entregar oficios varios.</t>
  </si>
  <si>
    <t xml:space="preserve">Armar escenario para Programa Cultural Fiestas de Agosto </t>
  </si>
  <si>
    <t>Inauguración del Programa Cultural Fiestas de Agosto, presentación de la Orquesta Sinfónica Juvenil de El Grullo, Jalisco</t>
  </si>
  <si>
    <t>Evento Cultural con la participación del Coro "Redes y Cantos" de Chapala, Jalisco</t>
  </si>
  <si>
    <t>Evento Cultural con la participación del Ballet Folclórico del Instituto Cultural Cabañas, de Guadalajara, Jalisco</t>
  </si>
  <si>
    <t>Evento Cultural con la participación del grupo Folclórico "Amor, Amistad y Alegría" del Gobierno Municipal de Tequila, Jalisco</t>
  </si>
  <si>
    <t>Evento Cultural con la participación del Ballet Folclórico de San Martín de Hidalgom Jalisco, Mariachi Tradicional</t>
  </si>
  <si>
    <t xml:space="preserve">Evento Cultural con la participación de la "Orquesta típica de Autlán" y "Orquesta Juvenil de Casimiro Castillo" </t>
  </si>
  <si>
    <t>Evento Cultural con la participación del Ballet Folclórico "Tenamaxtle" del Gobierno Municipal de Tenamaxtlán</t>
  </si>
  <si>
    <t>Evento Cultural con la participación de la Orquesta de Guitarras Clásicas "Colores de Tizapán" del Gobierno Municipal de Tizapán el Alto</t>
  </si>
  <si>
    <t xml:space="preserve">Evento Cultural con la participación del Ballet Folclórico "Almolón" del Gobierno Municipal de El Limón, Jalisco </t>
  </si>
  <si>
    <t xml:space="preserve">Evento Cultural con la participación del Mariachi ECOS de Tecolotlán, Jalisco </t>
  </si>
  <si>
    <t>E</t>
  </si>
  <si>
    <t>Evento Cultural con la representación de obra de teatro "El Principito" (Ontoligy time)</t>
  </si>
  <si>
    <t xml:space="preserve">Permiso Migración, Realización de oficios, avnzar tema de Proyecta Traslados </t>
  </si>
  <si>
    <t xml:space="preserve">Ultimos detalles  sobre el viaje a los Ángeles, California </t>
  </si>
  <si>
    <t>Ultimos detalles sobre el viaje a los Ángeles, California</t>
  </si>
  <si>
    <t xml:space="preserve">Viajen a los Ángesle, California con la Delegación Cultural </t>
  </si>
  <si>
    <t xml:space="preserve">Viaje a los Ángeles, California con la Delegación Cultural </t>
  </si>
  <si>
    <t>Presentación Delegación Cultural en el Desfile de Independencia en la ciudad de los Ángeles</t>
  </si>
  <si>
    <t>Viaje a los Ángeles, California con la Delegación Cultural</t>
  </si>
  <si>
    <t xml:space="preserve">Viaje a los Ángeles, California con la Delagación Cultural </t>
  </si>
  <si>
    <t xml:space="preserve">Reunión con el presidente, Reunión con padres de familia, Proyecta Traslados </t>
  </si>
  <si>
    <t xml:space="preserve">Evento Cultural Elección y Coronación de Reina de las Fiestas Patrias </t>
  </si>
  <si>
    <t xml:space="preserve">Desfile de Charros, Concurso de Aficionados </t>
  </si>
  <si>
    <t>Desfile de Independencia, Evento Cultural</t>
  </si>
  <si>
    <t xml:space="preserve">Credenciales del Coro Municipal, Cuentas del Viaje a USA, realizar cotización de instrumentos musicales </t>
  </si>
  <si>
    <t xml:space="preserve">Mesa de trabajo en la Escuela Secundaria Tecnica "Uso del Celular", Pedir recurso en tesorería para uniformes del Coro Municipal </t>
  </si>
  <si>
    <t xml:space="preserve">Recoger en el aeropuerto a los alumnos de la Escuela de Música ECOS que viajaron a Colombia, Fotos del Coro Municipal </t>
  </si>
  <si>
    <t xml:space="preserve">Reunión de Transparencia </t>
  </si>
  <si>
    <t xml:space="preserve">Visita a la 15 Zona Militar con Coro Municipal </t>
  </si>
  <si>
    <t xml:space="preserve">Presentación del Ballet Folclórico de Nayarit en la Delegación de Tamazulita, Reunión Presidente </t>
  </si>
  <si>
    <t xml:space="preserve">Entrega del Programa RECREA, Asusntos Talleres y Fondo Jalisco, Proyecta Traslados, Elaboración de diferentes oficios </t>
  </si>
  <si>
    <t>Nota:  las actividades frecuentes de la Dirección de Cultura son la organización de eventos culturales, el seguimiento a los Talleres Artísticos, a la Escuela de Música, las clases de Canto, recibir y entregar oficios varios..</t>
  </si>
  <si>
    <t>Te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</si>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</sst>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8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b/>
      <sz val="10.5"/>
      <color theme="1"/>
      <name val="Arial"/>
      <family val="2"/>
      <scheme val="minor"/>
    </font>
    <font>
      <b/>
      <sz val="10.5"/>
      <color theme="1" tint="0.249977111117893"/>
      <name val="Arial"/>
      <family val="2"/>
      <scheme val="minor"/>
    </font>
    <font>
      <sz val="10.5"/>
      <color theme="1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4" tint="0.79995117038483843"/>
      </right>
      <top style="thin">
        <color theme="5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43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164" fontId="25" fillId="6" borderId="0" xfId="0" applyNumberFormat="1" applyFont="1" applyFill="1" applyBorder="1" applyAlignment="1">
      <alignment horizontal="center" vertical="center" wrapText="1"/>
    </xf>
    <xf numFmtId="164" fontId="26" fillId="6" borderId="0" xfId="0" applyNumberFormat="1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left" vertical="top" indent="1"/>
    </xf>
    <xf numFmtId="0" fontId="15" fillId="5" borderId="0" xfId="0" applyFont="1" applyFill="1" applyBorder="1" applyAlignment="1">
      <alignment horizontal="left" vertical="top" indent="1"/>
    </xf>
    <xf numFmtId="0" fontId="15" fillId="5" borderId="16" xfId="0" applyFont="1" applyFill="1" applyBorder="1" applyAlignment="1">
      <alignment horizontal="left" vertical="top" indent="1"/>
    </xf>
    <xf numFmtId="0" fontId="10" fillId="0" borderId="0" xfId="0" applyFont="1"/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center"/>
    </xf>
    <xf numFmtId="0" fontId="18" fillId="0" borderId="47" xfId="0" applyFont="1" applyBorder="1" applyAlignment="1">
      <alignment horizontal="left"/>
    </xf>
    <xf numFmtId="0" fontId="18" fillId="0" borderId="4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20" fillId="7" borderId="0" xfId="0" applyNumberFormat="1" applyFont="1" applyFill="1" applyBorder="1" applyAlignment="1">
      <alignment horizontal="center" vertical="center" wrapText="1"/>
    </xf>
    <xf numFmtId="164" fontId="25" fillId="7" borderId="0" xfId="0" applyNumberFormat="1" applyFont="1" applyFill="1" applyBorder="1" applyAlignment="1">
      <alignment horizontal="center" vertical="center" wrapText="1"/>
    </xf>
    <xf numFmtId="164" fontId="27" fillId="7" borderId="0" xfId="0" applyNumberFormat="1" applyFont="1" applyFill="1" applyBorder="1" applyAlignment="1">
      <alignment horizontal="center" vertical="center" wrapText="1"/>
    </xf>
    <xf numFmtId="164" fontId="26" fillId="7" borderId="0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0" xfId="0" applyNumberFormat="1" applyFont="1" applyFill="1" applyBorder="1" applyAlignment="1">
      <alignment horizontal="left" vertical="top" indent="1"/>
    </xf>
    <xf numFmtId="164" fontId="10" fillId="0" borderId="0" xfId="0" applyNumberFormat="1" applyFont="1" applyFill="1" applyBorder="1" applyAlignment="1">
      <alignment horizontal="center"/>
    </xf>
    <xf numFmtId="164" fontId="19" fillId="0" borderId="0" xfId="0" applyNumberFormat="1" applyFont="1" applyFill="1" applyBorder="1" applyAlignment="1">
      <alignment horizontal="left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49" fontId="14" fillId="5" borderId="16" xfId="0" applyNumberFormat="1" applyFont="1" applyFill="1" applyBorder="1" applyAlignment="1">
      <alignment horizontal="left" indent="1"/>
    </xf>
    <xf numFmtId="0" fontId="15" fillId="5" borderId="27" xfId="0" applyFont="1" applyFill="1" applyBorder="1" applyAlignment="1">
      <alignment horizontal="left" vertical="top" indent="1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164" fontId="18" fillId="0" borderId="5" xfId="0" applyNumberFormat="1" applyFont="1" applyFill="1" applyBorder="1" applyAlignment="1">
      <alignment horizontal="left"/>
    </xf>
    <xf numFmtId="164" fontId="18" fillId="0" borderId="20" xfId="0" applyNumberFormat="1" applyFont="1" applyFill="1" applyBorder="1" applyAlignment="1">
      <alignment horizontal="left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6"/>
  <sheetViews>
    <sheetView showGridLines="0" topLeftCell="A2" zoomScaleNormal="100" zoomScalePageLayoutView="84" workbookViewId="0">
      <selection activeCell="I16" sqref="I16:J1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0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3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100">
        <v>2019</v>
      </c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101"/>
    </row>
    <row r="4" spans="1:14" ht="18" customHeight="1" x14ac:dyDescent="0.2">
      <c r="A4" s="4"/>
      <c r="B4" s="119"/>
      <c r="C4" s="63">
        <f>IF(DAY(JanSun1)=1,JanSun1-6,JanSun1+1)</f>
        <v>43465</v>
      </c>
      <c r="D4" s="64">
        <f>IF(DAY(JanSun1)=1,JanSun1-5,JanSun1+2)</f>
        <v>43466</v>
      </c>
      <c r="E4" s="64">
        <f>IF(DAY(JanSun1)=1,JanSun1-4,JanSun1+3)</f>
        <v>43467</v>
      </c>
      <c r="F4" s="64">
        <f>IF(DAY(JanSun1)=1,JanSun1-3,JanSun1+4)</f>
        <v>43468</v>
      </c>
      <c r="G4" s="32">
        <f>IF(DAY(JanSun1)=1,JanSun1-2,JanSun1+5)</f>
        <v>43469</v>
      </c>
      <c r="H4" s="65">
        <f>IF(DAY(JanSun1)=1,JanSun1-1,JanSun1+6)</f>
        <v>43470</v>
      </c>
      <c r="I4" s="32">
        <f>IF(DAY(JanSun1)=1,JanSun1,JanSun1+7)</f>
        <v>43471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64">
        <f>IF(DAY(JanSun1)=1,JanSun1+1,JanSun1+8)</f>
        <v>43472</v>
      </c>
      <c r="D5" s="64">
        <f>IF(DAY(JanSun1)=1,JanSun1+2,JanSun1+9)</f>
        <v>43473</v>
      </c>
      <c r="E5" s="64">
        <f>IF(DAY(JanSun1)=1,JanSun1+3,JanSun1+10)</f>
        <v>43474</v>
      </c>
      <c r="F5" s="64">
        <f>IF(DAY(JanSun1)=1,JanSun1+4,JanSun1+11)</f>
        <v>43475</v>
      </c>
      <c r="G5" s="65">
        <f>IF(DAY(JanSun1)=1,JanSun1+5,JanSun1+12)</f>
        <v>43476</v>
      </c>
      <c r="H5" s="65">
        <f>IF(DAY(JanSun1)=1,JanSun1+6,JanSun1+13)</f>
        <v>43477</v>
      </c>
      <c r="I5" s="32">
        <f>IF(DAY(JanSun1)=1,JanSun1+7,JanSun1+14)</f>
        <v>43478</v>
      </c>
      <c r="J5" s="5"/>
      <c r="K5" s="92"/>
      <c r="L5" s="17">
        <v>7</v>
      </c>
      <c r="M5" s="85" t="s">
        <v>31</v>
      </c>
      <c r="N5" s="86"/>
    </row>
    <row r="6" spans="1:14" ht="18" customHeight="1" x14ac:dyDescent="0.2">
      <c r="A6" s="4"/>
      <c r="B6" s="119"/>
      <c r="C6" s="64">
        <f>IF(DAY(JanSun1)=1,JanSun1+8,JanSun1+15)</f>
        <v>43479</v>
      </c>
      <c r="D6" s="64">
        <f>IF(DAY(JanSun1)=1,JanSun1+9,JanSun1+16)</f>
        <v>43480</v>
      </c>
      <c r="E6" s="64">
        <f>IF(DAY(JanSun1)=1,JanSun1+10,JanSun1+17)</f>
        <v>43481</v>
      </c>
      <c r="F6" s="64">
        <f>IF(DAY(JanSun1)=1,JanSun1+11,JanSun1+18)</f>
        <v>43482</v>
      </c>
      <c r="G6" s="32">
        <f>IF(DAY(JanSun1)=1,JanSun1+12,JanSun1+19)</f>
        <v>43483</v>
      </c>
      <c r="H6" s="65">
        <f>IF(DAY(JanSun1)=1,JanSun1+13,JanSun1+20)</f>
        <v>43484</v>
      </c>
      <c r="I6" s="65">
        <f>IF(DAY(JanSun1)=1,JanSun1+14,JanSun1+21)</f>
        <v>43485</v>
      </c>
      <c r="J6" s="5"/>
      <c r="K6" s="92"/>
      <c r="L6" s="17">
        <v>14</v>
      </c>
      <c r="M6" s="85" t="s">
        <v>36</v>
      </c>
      <c r="N6" s="86"/>
    </row>
    <row r="7" spans="1:14" ht="18" customHeight="1" x14ac:dyDescent="0.2">
      <c r="A7" s="4"/>
      <c r="B7" s="119"/>
      <c r="C7" s="64">
        <f>IF(DAY(JanSun1)=1,JanSun1+15,JanSun1+22)</f>
        <v>43486</v>
      </c>
      <c r="D7" s="65">
        <f>IF(DAY(JanSun1)=1,JanSun1+16,JanSun1+23)</f>
        <v>43487</v>
      </c>
      <c r="E7" s="64">
        <f>IF(DAY(JanSun1)=1,JanSun1+17,JanSun1+24)</f>
        <v>43488</v>
      </c>
      <c r="F7" s="64">
        <f>IF(DAY(JanSun1)=1,JanSun1+18,JanSun1+25)</f>
        <v>43489</v>
      </c>
      <c r="G7" s="32">
        <f>IF(DAY(JanSun1)=1,JanSun1+19,JanSun1+26)</f>
        <v>43490</v>
      </c>
      <c r="H7" s="65">
        <f>IF(DAY(JanSun1)=1,JanSun1+20,JanSun1+27)</f>
        <v>43491</v>
      </c>
      <c r="I7" s="65">
        <f>IF(DAY(JanSun1)=1,JanSun1+21,JanSun1+28)</f>
        <v>43492</v>
      </c>
      <c r="J7" s="5"/>
      <c r="K7" s="11"/>
      <c r="L7" s="17">
        <v>21</v>
      </c>
      <c r="M7" s="85" t="s">
        <v>41</v>
      </c>
      <c r="N7" s="86"/>
    </row>
    <row r="8" spans="1:14" ht="18.75" customHeight="1" x14ac:dyDescent="0.2">
      <c r="A8" s="4"/>
      <c r="B8" s="119"/>
      <c r="C8" s="64">
        <f>IF(DAY(JanSun1)=1,JanSun1+22,JanSun1+29)</f>
        <v>43493</v>
      </c>
      <c r="D8" s="64">
        <f>IF(DAY(JanSun1)=1,JanSun1+23,JanSun1+30)</f>
        <v>43494</v>
      </c>
      <c r="E8" s="64">
        <f>IF(DAY(JanSun1)=1,JanSun1+24,JanSun1+31)</f>
        <v>43495</v>
      </c>
      <c r="F8" s="64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>
        <v>28</v>
      </c>
      <c r="M8" s="85" t="s">
        <v>45</v>
      </c>
      <c r="N8" s="86"/>
    </row>
    <row r="9" spans="1:14" ht="18" customHeight="1" x14ac:dyDescent="0.2">
      <c r="A9" s="4"/>
      <c r="B9" s="119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>
        <v>8</v>
      </c>
      <c r="M11" s="85" t="s">
        <v>32</v>
      </c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>
        <v>15</v>
      </c>
      <c r="M12" s="85" t="s">
        <v>37</v>
      </c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>
        <v>29</v>
      </c>
      <c r="M14" s="85" t="s">
        <v>46</v>
      </c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>
        <v>2</v>
      </c>
      <c r="M16" s="98" t="s">
        <v>75</v>
      </c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>
        <v>9</v>
      </c>
      <c r="M17" s="85" t="s">
        <v>33</v>
      </c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>
        <v>16</v>
      </c>
      <c r="M18" s="85" t="s">
        <v>38</v>
      </c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>
        <v>23</v>
      </c>
      <c r="M19" s="85" t="s">
        <v>42</v>
      </c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>
        <v>30</v>
      </c>
      <c r="M20" s="85" t="s">
        <v>47</v>
      </c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>
        <v>3</v>
      </c>
      <c r="M23" s="85" t="s">
        <v>26</v>
      </c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>
        <v>10</v>
      </c>
      <c r="M24" s="85" t="s">
        <v>34</v>
      </c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>
        <v>17</v>
      </c>
      <c r="M25" s="85" t="s">
        <v>39</v>
      </c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>
        <v>24</v>
      </c>
      <c r="M26" s="85" t="s">
        <v>43</v>
      </c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>
        <v>31</v>
      </c>
      <c r="M27" s="96" t="s">
        <v>48</v>
      </c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>
        <v>4</v>
      </c>
      <c r="M29" s="85" t="s">
        <v>29</v>
      </c>
      <c r="N29" s="86"/>
    </row>
    <row r="30" spans="2:14" ht="18" customHeight="1" x14ac:dyDescent="0.2">
      <c r="B30" s="112" t="s">
        <v>49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/>
      <c r="M30" s="85"/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91"/>
      <c r="L31" s="17">
        <v>18</v>
      </c>
      <c r="M31" s="85" t="s">
        <v>40</v>
      </c>
      <c r="N31" s="86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92"/>
      <c r="L32" s="17">
        <v>25</v>
      </c>
      <c r="M32" s="29" t="s">
        <v>44</v>
      </c>
      <c r="N32" s="30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92"/>
      <c r="L33" s="17"/>
      <c r="M33" s="29"/>
      <c r="N33" s="30"/>
    </row>
    <row r="34" spans="2:14" ht="16.5" customHeight="1" x14ac:dyDescent="0.2">
      <c r="K34" s="91" t="s">
        <v>28</v>
      </c>
      <c r="M34" s="128"/>
      <c r="N34" s="129"/>
    </row>
    <row r="35" spans="2:14" ht="16.5" customHeight="1" x14ac:dyDescent="0.2">
      <c r="K35" s="92"/>
      <c r="L35" s="37">
        <v>6</v>
      </c>
      <c r="M35" s="130" t="s">
        <v>30</v>
      </c>
      <c r="N35" s="131"/>
    </row>
    <row r="36" spans="2:14" ht="16.5" customHeight="1" x14ac:dyDescent="0.2">
      <c r="K36" s="92"/>
      <c r="L36" s="37">
        <v>13</v>
      </c>
      <c r="M36" s="1" t="s">
        <v>35</v>
      </c>
    </row>
  </sheetData>
  <mergeCells count="110">
    <mergeCell ref="K34:K36"/>
    <mergeCell ref="M34:N34"/>
    <mergeCell ref="M35:N35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M31:N31"/>
    <mergeCell ref="M26:N26"/>
    <mergeCell ref="K31:K33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E13:F13"/>
    <mergeCell ref="C13:D13"/>
    <mergeCell ref="E17:F17"/>
    <mergeCell ref="E16:F16"/>
    <mergeCell ref="E15:F15"/>
    <mergeCell ref="E14:F14"/>
    <mergeCell ref="C14:D14"/>
    <mergeCell ref="C29:D29"/>
    <mergeCell ref="C24:D24"/>
    <mergeCell ref="C25:D25"/>
    <mergeCell ref="C26:D26"/>
    <mergeCell ref="C27:D27"/>
    <mergeCell ref="C28:D28"/>
    <mergeCell ref="B30:J33"/>
    <mergeCell ref="E28:F28"/>
    <mergeCell ref="E27:F27"/>
    <mergeCell ref="E26:F26"/>
    <mergeCell ref="E25:F25"/>
    <mergeCell ref="E24:F24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M13:N13"/>
    <mergeCell ref="G28:H28"/>
    <mergeCell ref="G29:H29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14:N14"/>
    <mergeCell ref="M15:N15"/>
    <mergeCell ref="M16:N16"/>
    <mergeCell ref="M17:N17"/>
    <mergeCell ref="M18:N18"/>
    <mergeCell ref="M19:N19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C15:D15"/>
    <mergeCell ref="K16:K18"/>
    <mergeCell ref="K22:K25"/>
    <mergeCell ref="E23:F23"/>
    <mergeCell ref="E22:F22"/>
    <mergeCell ref="E21:F21"/>
    <mergeCell ref="E20:F20"/>
    <mergeCell ref="E19:F19"/>
    <mergeCell ref="M20:N20"/>
    <mergeCell ref="C19:D19"/>
    <mergeCell ref="C20:D20"/>
    <mergeCell ref="C22:D22"/>
    <mergeCell ref="C23:D23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0"/>
  <sheetViews>
    <sheetView showGridLines="0" topLeftCell="I1" zoomScaleNormal="100" zoomScalePageLayoutView="84" workbookViewId="0">
      <selection activeCell="L5" sqref="L5:N4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6.5703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17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92"/>
      <c r="L5" s="17"/>
      <c r="M5" s="85"/>
      <c r="N5" s="86"/>
    </row>
    <row r="6" spans="1:14" ht="18" customHeight="1" x14ac:dyDescent="0.2">
      <c r="A6" s="4"/>
      <c r="B6" s="119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92"/>
      <c r="L6" s="17"/>
      <c r="M6" s="85"/>
      <c r="N6" s="86"/>
    </row>
    <row r="7" spans="1:14" ht="18" customHeight="1" x14ac:dyDescent="0.2">
      <c r="A7" s="4"/>
      <c r="B7" s="119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85"/>
      <c r="N7" s="86"/>
    </row>
    <row r="8" spans="1:14" ht="18.75" customHeight="1" x14ac:dyDescent="0.2">
      <c r="A8" s="4"/>
      <c r="B8" s="119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85"/>
      <c r="N8" s="86"/>
    </row>
    <row r="9" spans="1:14" ht="18" customHeight="1" x14ac:dyDescent="0.2">
      <c r="A9" s="4"/>
      <c r="B9" s="119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/>
      <c r="M11" s="85"/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/>
      <c r="M12" s="85"/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/>
      <c r="M14" s="85"/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1:14" ht="18" customHeight="1" x14ac:dyDescent="0.2">
      <c r="A17" s="1" t="s">
        <v>197</v>
      </c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/>
      <c r="M17" s="85"/>
      <c r="N17" s="86"/>
    </row>
    <row r="18" spans="1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/>
      <c r="M18" s="85"/>
      <c r="N18" s="86"/>
    </row>
    <row r="19" spans="1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/>
      <c r="M19" s="85"/>
      <c r="N19" s="86"/>
    </row>
    <row r="20" spans="1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/>
      <c r="M20" s="85"/>
      <c r="N20" s="86"/>
    </row>
    <row r="21" spans="1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1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1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/>
      <c r="M23" s="85"/>
      <c r="N23" s="86"/>
    </row>
    <row r="24" spans="1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/>
      <c r="M24" s="85"/>
      <c r="N24" s="86"/>
    </row>
    <row r="25" spans="1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/>
      <c r="M25" s="85"/>
      <c r="N25" s="86"/>
    </row>
    <row r="26" spans="1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/>
      <c r="M26" s="85"/>
      <c r="N26" s="86"/>
    </row>
    <row r="27" spans="1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1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1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/>
      <c r="M29" s="85"/>
      <c r="N29" s="86"/>
    </row>
    <row r="30" spans="1:14" ht="18" customHeight="1" x14ac:dyDescent="0.2">
      <c r="B30" s="112" t="s">
        <v>196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/>
      <c r="M30" s="85"/>
      <c r="N30" s="86"/>
    </row>
    <row r="31" spans="1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69"/>
      <c r="L31" s="17"/>
      <c r="M31" s="67"/>
      <c r="N31" s="68"/>
    </row>
    <row r="32" spans="1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69"/>
      <c r="L32" s="17"/>
      <c r="M32" s="67"/>
      <c r="N32" s="68"/>
    </row>
    <row r="33" spans="1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69"/>
      <c r="L33" s="17"/>
      <c r="M33" s="67"/>
      <c r="N33" s="68"/>
    </row>
    <row r="34" spans="1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91" t="s">
        <v>27</v>
      </c>
      <c r="L34" s="17"/>
      <c r="M34" s="85"/>
      <c r="N34" s="86"/>
    </row>
    <row r="35" spans="1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92"/>
      <c r="L35" s="17"/>
      <c r="M35" s="85"/>
      <c r="N35" s="86"/>
    </row>
    <row r="36" spans="1:14" ht="18" customHeight="1" x14ac:dyDescent="0.2">
      <c r="B36" s="7"/>
      <c r="C36" s="139"/>
      <c r="D36" s="140"/>
      <c r="E36" s="139"/>
      <c r="F36" s="140"/>
      <c r="G36" s="139"/>
      <c r="H36" s="140"/>
      <c r="I36" s="141"/>
      <c r="J36" s="142"/>
      <c r="K36" s="92"/>
      <c r="L36" s="20"/>
      <c r="M36" s="128"/>
      <c r="N36" s="129"/>
    </row>
    <row r="37" spans="1:14" ht="16.5" customHeight="1" x14ac:dyDescent="0.2">
      <c r="A37" s="1" t="s">
        <v>198</v>
      </c>
      <c r="K37" s="91" t="s">
        <v>28</v>
      </c>
      <c r="L37" s="37"/>
    </row>
    <row r="38" spans="1:14" ht="16.5" customHeight="1" x14ac:dyDescent="0.2">
      <c r="K38" s="92"/>
      <c r="L38" s="37"/>
    </row>
    <row r="39" spans="1:14" ht="16.5" customHeight="1" x14ac:dyDescent="0.2">
      <c r="K39" s="92"/>
      <c r="L39" s="37"/>
    </row>
    <row r="40" spans="1:14" ht="16.5" customHeight="1" x14ac:dyDescent="0.2">
      <c r="L40" s="37"/>
    </row>
  </sheetData>
  <mergeCells count="113">
    <mergeCell ref="C36:D36"/>
    <mergeCell ref="E36:F36"/>
    <mergeCell ref="G36:H36"/>
    <mergeCell ref="I36:J36"/>
    <mergeCell ref="M36:N36"/>
    <mergeCell ref="M34:N34"/>
    <mergeCell ref="M35:N35"/>
    <mergeCell ref="B30:J35"/>
    <mergeCell ref="M29:N29"/>
    <mergeCell ref="M30:N30"/>
    <mergeCell ref="K34:K36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K37:K39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6:J36">
    <cfRule type="expression" dxfId="11" priority="2">
      <formula>B14&lt;&gt;""</formula>
    </cfRule>
  </conditionalFormatting>
  <conditionalFormatting sqref="B30:B33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4"/>
  <sheetViews>
    <sheetView showGridLines="0" zoomScaleNormal="100" zoomScalePageLayoutView="84" workbookViewId="0">
      <selection activeCell="M20" sqref="M20:N2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25.42578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16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93"/>
      <c r="L4" s="16"/>
      <c r="M4" s="94"/>
      <c r="N4" s="95"/>
    </row>
    <row r="5" spans="1:14" ht="18" customHeight="1" x14ac:dyDescent="0.2">
      <c r="A5" s="4"/>
      <c r="B5" s="119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92"/>
      <c r="L5" s="17"/>
      <c r="M5" s="85"/>
      <c r="N5" s="86"/>
    </row>
    <row r="6" spans="1:14" ht="18" customHeight="1" x14ac:dyDescent="0.2">
      <c r="A6" s="4"/>
      <c r="B6" s="119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92"/>
      <c r="L6" s="17"/>
      <c r="M6" s="85"/>
      <c r="N6" s="86"/>
    </row>
    <row r="7" spans="1:14" ht="18" customHeight="1" x14ac:dyDescent="0.2">
      <c r="A7" s="4"/>
      <c r="B7" s="119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85"/>
      <c r="N7" s="86"/>
    </row>
    <row r="8" spans="1:14" ht="18.75" customHeight="1" x14ac:dyDescent="0.2">
      <c r="A8" s="4"/>
      <c r="B8" s="119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85"/>
      <c r="N8" s="86"/>
    </row>
    <row r="9" spans="1:14" ht="18" customHeight="1" x14ac:dyDescent="0.2">
      <c r="A9" s="4"/>
      <c r="B9" s="119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/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/>
      <c r="M11" s="85"/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/>
      <c r="M12" s="85"/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/>
      <c r="M14" s="85"/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/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/>
      <c r="M17" s="85"/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/>
      <c r="M18" s="85"/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/>
      <c r="M19" s="85"/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/>
      <c r="M20" s="85"/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/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/>
      <c r="M23" s="85"/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/>
      <c r="M24" s="85"/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/>
      <c r="M25" s="85"/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/>
      <c r="M26" s="85"/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/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/>
      <c r="M29" s="85"/>
      <c r="N29" s="86"/>
    </row>
    <row r="30" spans="2:14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92"/>
      <c r="L30" s="17"/>
      <c r="M30" s="71"/>
      <c r="N30" s="72"/>
    </row>
    <row r="31" spans="2:14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92"/>
      <c r="L31" s="17"/>
      <c r="M31" s="71"/>
      <c r="N31" s="72"/>
    </row>
    <row r="32" spans="2:14" ht="18" customHeight="1" x14ac:dyDescent="0.2">
      <c r="B32" s="34"/>
      <c r="C32" s="35"/>
      <c r="D32" s="35"/>
      <c r="E32" s="35"/>
      <c r="F32" s="35"/>
      <c r="G32" s="35"/>
      <c r="H32" s="35"/>
      <c r="I32" s="35"/>
      <c r="J32" s="36"/>
      <c r="K32" s="92"/>
      <c r="L32" s="17"/>
      <c r="M32" s="71"/>
      <c r="N32" s="72"/>
    </row>
    <row r="33" spans="2:14" ht="18" customHeight="1" x14ac:dyDescent="0.2">
      <c r="B33" s="112" t="s">
        <v>163</v>
      </c>
      <c r="C33" s="113"/>
      <c r="D33" s="113"/>
      <c r="E33" s="113"/>
      <c r="F33" s="113"/>
      <c r="G33" s="113"/>
      <c r="H33" s="113"/>
      <c r="I33" s="113"/>
      <c r="J33" s="114"/>
      <c r="K33" s="92"/>
      <c r="L33" s="17"/>
      <c r="M33" s="85"/>
      <c r="N33" s="86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91"/>
      <c r="L34" s="17"/>
      <c r="M34" s="85"/>
      <c r="N34" s="86"/>
    </row>
    <row r="35" spans="2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92"/>
      <c r="L35" s="17"/>
      <c r="M35" s="85"/>
      <c r="N35" s="86"/>
    </row>
    <row r="36" spans="2:14" ht="18" customHeight="1" x14ac:dyDescent="0.2">
      <c r="B36" s="73"/>
      <c r="C36" s="74"/>
      <c r="D36" s="74"/>
      <c r="E36" s="74"/>
      <c r="F36" s="74"/>
      <c r="G36" s="74"/>
      <c r="H36" s="74"/>
      <c r="I36" s="74"/>
      <c r="J36" s="75"/>
      <c r="K36" s="92"/>
      <c r="L36" s="51"/>
      <c r="M36" s="52"/>
      <c r="N36" s="53"/>
    </row>
    <row r="37" spans="2:14" ht="18" customHeight="1" x14ac:dyDescent="0.2">
      <c r="B37" s="7"/>
      <c r="C37" s="139"/>
      <c r="D37" s="140"/>
      <c r="E37" s="139"/>
      <c r="F37" s="140"/>
      <c r="G37" s="139"/>
      <c r="H37" s="140"/>
      <c r="I37" s="141"/>
      <c r="J37" s="142"/>
      <c r="K37" s="92"/>
      <c r="L37" s="20"/>
      <c r="M37" s="128"/>
      <c r="N37" s="129"/>
    </row>
    <row r="38" spans="2:14" ht="18" customHeight="1" x14ac:dyDescent="0.2">
      <c r="B38" s="35"/>
      <c r="C38" s="35"/>
      <c r="D38" s="35"/>
      <c r="E38" s="35"/>
      <c r="F38" s="35"/>
      <c r="G38" s="35"/>
      <c r="H38" s="35"/>
      <c r="I38" s="76"/>
      <c r="J38" s="76"/>
      <c r="K38" s="70"/>
      <c r="L38" s="77"/>
      <c r="M38" s="78"/>
      <c r="N38" s="78"/>
    </row>
    <row r="39" spans="2:14" ht="16.5" customHeight="1" x14ac:dyDescent="0.2">
      <c r="K39" s="91"/>
      <c r="L39" s="37"/>
    </row>
    <row r="40" spans="2:14" ht="16.5" customHeight="1" x14ac:dyDescent="0.2">
      <c r="K40" s="92"/>
      <c r="L40" s="37"/>
    </row>
    <row r="41" spans="2:14" ht="16.5" customHeight="1" x14ac:dyDescent="0.2">
      <c r="K41" s="92"/>
    </row>
    <row r="42" spans="2:14" ht="16.5" customHeight="1" x14ac:dyDescent="0.2">
      <c r="K42" s="91"/>
    </row>
    <row r="43" spans="2:14" ht="16.5" customHeight="1" x14ac:dyDescent="0.2">
      <c r="K43" s="92"/>
    </row>
    <row r="44" spans="2:14" ht="16.5" customHeight="1" x14ac:dyDescent="0.2">
      <c r="K44" s="92"/>
    </row>
  </sheetData>
  <mergeCells count="114">
    <mergeCell ref="K39:K41"/>
    <mergeCell ref="K42:K44"/>
    <mergeCell ref="C37:D37"/>
    <mergeCell ref="E37:F37"/>
    <mergeCell ref="G37:H37"/>
    <mergeCell ref="I37:J37"/>
    <mergeCell ref="M37:N37"/>
    <mergeCell ref="M34:N34"/>
    <mergeCell ref="M35:N35"/>
    <mergeCell ref="B33:J35"/>
    <mergeCell ref="M29:N29"/>
    <mergeCell ref="M33:N33"/>
    <mergeCell ref="K34:K37"/>
    <mergeCell ref="C28:D28"/>
    <mergeCell ref="E28:F28"/>
    <mergeCell ref="G28:H28"/>
    <mergeCell ref="I28:J28"/>
    <mergeCell ref="K28:K33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32 B37:J38">
    <cfRule type="expression" dxfId="6" priority="2">
      <formula>B14&lt;&gt;""</formula>
    </cfRule>
  </conditionalFormatting>
  <conditionalFormatting sqref="B33">
    <cfRule type="expression" dxfId="5" priority="1">
      <formula>B33&lt;&gt;""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4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9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92"/>
      <c r="L5" s="17"/>
      <c r="M5" s="85"/>
      <c r="N5" s="86"/>
    </row>
    <row r="6" spans="1:14" ht="18" customHeight="1" x14ac:dyDescent="0.2">
      <c r="A6" s="4"/>
      <c r="B6" s="119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92"/>
      <c r="L6" s="17"/>
      <c r="M6" s="85"/>
      <c r="N6" s="86"/>
    </row>
    <row r="7" spans="1:14" ht="18" customHeight="1" x14ac:dyDescent="0.2">
      <c r="A7" s="4"/>
      <c r="B7" s="119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85"/>
      <c r="N7" s="86"/>
    </row>
    <row r="8" spans="1:14" ht="18.75" customHeight="1" x14ac:dyDescent="0.2">
      <c r="A8" s="4"/>
      <c r="B8" s="119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85"/>
      <c r="N8" s="86"/>
    </row>
    <row r="9" spans="1:14" ht="18" customHeight="1" x14ac:dyDescent="0.2">
      <c r="A9" s="4"/>
      <c r="B9" s="119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/>
      <c r="M11" s="85"/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/>
      <c r="M12" s="85"/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/>
      <c r="M14" s="85"/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/>
      <c r="M17" s="85"/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/>
      <c r="M18" s="85"/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/>
      <c r="M19" s="85"/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/>
      <c r="M20" s="85"/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/>
      <c r="M23" s="85"/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/>
      <c r="M24" s="85"/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/>
      <c r="M25" s="85"/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/>
      <c r="M26" s="85"/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/>
      <c r="M29" s="85"/>
      <c r="N29" s="86"/>
    </row>
    <row r="30" spans="2:14" ht="18" customHeight="1" x14ac:dyDescent="0.2">
      <c r="B30" s="112" t="s">
        <v>163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/>
      <c r="M30" s="85"/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14"/>
      <c r="L31" s="17"/>
      <c r="M31" s="85"/>
      <c r="N31" s="86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14"/>
      <c r="L32" s="17"/>
      <c r="M32" s="85"/>
      <c r="N32" s="86"/>
    </row>
    <row r="33" spans="2:14" ht="18" customHeight="1" x14ac:dyDescent="0.2">
      <c r="B33" s="7"/>
      <c r="C33" s="139"/>
      <c r="D33" s="140"/>
      <c r="E33" s="139"/>
      <c r="F33" s="140"/>
      <c r="G33" s="139"/>
      <c r="H33" s="140"/>
      <c r="I33" s="141"/>
      <c r="J33" s="142"/>
      <c r="K33" s="15"/>
      <c r="L33" s="20"/>
      <c r="M33" s="128"/>
      <c r="N33" s="129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1" zoomScaleNormal="100" zoomScalePageLayoutView="84" workbookViewId="0">
      <selection activeCell="B11" sqref="B11:J1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85546875" style="1" customWidth="1"/>
    <col min="15" max="16" width="23" style="1" customWidth="1"/>
    <col min="17" max="22" width="8.85546875" customWidth="1"/>
    <col min="42" max="16384" width="8.7109375" style="1"/>
  </cols>
  <sheetData>
    <row r="1" spans="1:16" ht="11.25" customHeight="1" x14ac:dyDescent="0.2"/>
    <row r="2" spans="1:16" ht="18" customHeight="1" x14ac:dyDescent="0.2">
      <c r="A2" s="4"/>
      <c r="B2" s="118" t="s">
        <v>25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  <c r="O2" s="25"/>
      <c r="P2" s="25"/>
    </row>
    <row r="3" spans="1:16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  <c r="O3" s="26"/>
      <c r="P3" s="26"/>
    </row>
    <row r="4" spans="1:16" ht="18" customHeight="1" x14ac:dyDescent="0.2">
      <c r="A4" s="4"/>
      <c r="B4" s="119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65">
        <f>IF(DAY(FebDom1)=1,FebDom1-1,FebDom1+6)</f>
        <v>43498</v>
      </c>
      <c r="I4" s="65">
        <f>IF(DAY(FebDom1)=1,FebDom1,FebDom1+7)</f>
        <v>43499</v>
      </c>
      <c r="J4" s="5"/>
      <c r="K4" s="93" t="s">
        <v>11</v>
      </c>
      <c r="L4" s="16">
        <v>4</v>
      </c>
      <c r="M4" s="94" t="s">
        <v>50</v>
      </c>
      <c r="N4" s="95"/>
      <c r="O4"/>
      <c r="P4"/>
    </row>
    <row r="5" spans="1:16" ht="18" customHeight="1" x14ac:dyDescent="0.2">
      <c r="A5" s="4"/>
      <c r="B5" s="119"/>
      <c r="C5" s="63">
        <f>IF(DAY(FebDom1)=1,FebDom1+1,FebDom1+8)</f>
        <v>43500</v>
      </c>
      <c r="D5" s="63">
        <f>IF(DAY(FebDom1)=1,FebDom1+2,FebDom1+9)</f>
        <v>43501</v>
      </c>
      <c r="E5" s="63">
        <f>IF(DAY(FebDom1)=1,FebDom1+3,FebDom1+10)</f>
        <v>43502</v>
      </c>
      <c r="F5" s="63">
        <f>IF(DAY(FebDom1)=1,FebDom1+4,FebDom1+11)</f>
        <v>43503</v>
      </c>
      <c r="G5" s="63">
        <f>IF(DAY(FebDom1)=1,FebDom1+5,FebDom1+12)</f>
        <v>43504</v>
      </c>
      <c r="H5" s="65">
        <f>IF(DAY(FebDom1)=1,FebDom1+6,FebDom1+13)</f>
        <v>43505</v>
      </c>
      <c r="I5" s="65">
        <f>IF(DAY(FebDom1)=1,FebDom1+7,FebDom1+14)</f>
        <v>43506</v>
      </c>
      <c r="J5" s="5"/>
      <c r="K5" s="92"/>
      <c r="L5" s="17">
        <v>11</v>
      </c>
      <c r="M5" s="1" t="s">
        <v>55</v>
      </c>
    </row>
    <row r="6" spans="1:16" ht="18" customHeight="1" x14ac:dyDescent="0.2">
      <c r="A6" s="4"/>
      <c r="B6" s="119"/>
      <c r="C6" s="63">
        <f>IF(DAY(FebDom1)=1,FebDom1+8,FebDom1+15)</f>
        <v>43507</v>
      </c>
      <c r="D6" s="66">
        <f>IF(DAY(FebDom1)=1,FebDom1+9,FebDom1+16)</f>
        <v>43508</v>
      </c>
      <c r="E6" s="66">
        <f>IF(DAY(FebDom1)=1,FebDom1+10,FebDom1+17)</f>
        <v>43509</v>
      </c>
      <c r="F6" s="66">
        <f>IF(DAY(FebDom1)=1,FebDom1+11,FebDom1+18)</f>
        <v>43510</v>
      </c>
      <c r="G6" s="63">
        <f>IF(DAY(FebDom1)=1,FebDom1+12,FebDom1+19)</f>
        <v>43511</v>
      </c>
      <c r="H6" s="65">
        <f>IF(DAY(FebDom1)=1,FebDom1+13,FebDom1+20)</f>
        <v>43512</v>
      </c>
      <c r="I6" s="65">
        <f>IF(DAY(FebDom1)=1,FebDom1+14,FebDom1+21)</f>
        <v>43513</v>
      </c>
      <c r="J6" s="5"/>
      <c r="K6" s="92"/>
      <c r="L6" s="17"/>
      <c r="M6" s="85"/>
      <c r="N6" s="86"/>
      <c r="O6"/>
      <c r="P6"/>
    </row>
    <row r="7" spans="1:16" ht="18" customHeight="1" x14ac:dyDescent="0.2">
      <c r="A7" s="4"/>
      <c r="B7" s="119"/>
      <c r="C7" s="63">
        <f>IF(DAY(FebDom1)=1,FebDom1+15,FebDom1+22)</f>
        <v>43514</v>
      </c>
      <c r="D7" s="33">
        <f>IF(DAY(FebDom1)=1,FebDom1+16,FebDom1+23)</f>
        <v>43515</v>
      </c>
      <c r="E7" s="33">
        <f>IF(DAY(FebDom1)=1,FebDom1+17,FebDom1+24)</f>
        <v>43516</v>
      </c>
      <c r="F7" s="66">
        <f>IF(DAY(FebDom1)=1,FebDom1+18,FebDom1+25)</f>
        <v>43517</v>
      </c>
      <c r="G7" s="63">
        <f>IF(DAY(FebDom1)=1,FebDom1+19,FebDom1+26)</f>
        <v>43518</v>
      </c>
      <c r="H7" s="64">
        <f>IF(DAY(FebDom1)=1,FebDom1+20,FebDom1+27)</f>
        <v>43519</v>
      </c>
      <c r="I7" s="65">
        <f>IF(DAY(FebDom1)=1,FebDom1+21,FebDom1+28)</f>
        <v>43520</v>
      </c>
      <c r="J7" s="5"/>
      <c r="K7" s="11"/>
      <c r="L7" s="17">
        <v>25</v>
      </c>
      <c r="M7" s="85" t="s">
        <v>63</v>
      </c>
      <c r="N7" s="86"/>
      <c r="O7"/>
      <c r="P7"/>
    </row>
    <row r="8" spans="1:16" ht="18.75" customHeight="1" x14ac:dyDescent="0.2">
      <c r="A8" s="4"/>
      <c r="B8" s="119"/>
      <c r="C8" s="63">
        <f>IF(DAY(FebDom1)=1,FebDom1+22,FebDom1+29)</f>
        <v>43521</v>
      </c>
      <c r="D8" s="66">
        <f>IF(DAY(FebDom1)=1,FebDom1+23,FebDom1+30)</f>
        <v>43522</v>
      </c>
      <c r="E8" s="66">
        <f>IF(DAY(FebDom1)=1,FebDom1+24,FebDom1+31)</f>
        <v>43523</v>
      </c>
      <c r="F8" s="66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85"/>
      <c r="N8" s="86"/>
      <c r="O8"/>
      <c r="P8"/>
    </row>
    <row r="9" spans="1:16" ht="18" customHeight="1" x14ac:dyDescent="0.2">
      <c r="A9" s="4"/>
      <c r="B9" s="119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96"/>
      <c r="N9" s="97"/>
      <c r="O9"/>
      <c r="P9"/>
    </row>
    <row r="10" spans="1:16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  <c r="O10"/>
      <c r="P10"/>
    </row>
    <row r="11" spans="1:16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>
        <v>5</v>
      </c>
      <c r="M11" s="85" t="s">
        <v>51</v>
      </c>
      <c r="N11" s="86"/>
      <c r="O11"/>
      <c r="P11"/>
    </row>
    <row r="12" spans="1:16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>
        <v>12</v>
      </c>
      <c r="M12" s="85" t="s">
        <v>56</v>
      </c>
      <c r="N12" s="86"/>
      <c r="O12"/>
      <c r="P12"/>
    </row>
    <row r="13" spans="1:16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>
        <v>19</v>
      </c>
      <c r="M13" s="85" t="s">
        <v>58</v>
      </c>
      <c r="N13" s="86"/>
      <c r="O13"/>
      <c r="P13"/>
    </row>
    <row r="14" spans="1:16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>
        <v>26</v>
      </c>
      <c r="M14" s="85" t="s">
        <v>63</v>
      </c>
      <c r="N14" s="86"/>
      <c r="O14"/>
      <c r="P14"/>
    </row>
    <row r="15" spans="1:16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  <c r="O15"/>
      <c r="P15"/>
    </row>
    <row r="16" spans="1:16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  <c r="O16"/>
      <c r="P16"/>
    </row>
    <row r="17" spans="2:16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>
        <v>6</v>
      </c>
      <c r="M17" s="85" t="s">
        <v>52</v>
      </c>
      <c r="N17" s="86"/>
      <c r="O17"/>
      <c r="P17"/>
    </row>
    <row r="18" spans="2:16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>
        <v>13</v>
      </c>
      <c r="M18" s="85" t="s">
        <v>42</v>
      </c>
      <c r="N18" s="86"/>
      <c r="O18"/>
      <c r="P18"/>
    </row>
    <row r="19" spans="2:16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>
        <v>20</v>
      </c>
      <c r="M19" s="85" t="s">
        <v>59</v>
      </c>
      <c r="N19" s="86"/>
      <c r="O19"/>
      <c r="P19"/>
    </row>
    <row r="20" spans="2:16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>
        <v>27</v>
      </c>
      <c r="M20" s="85" t="s">
        <v>63</v>
      </c>
      <c r="N20" s="86"/>
      <c r="O20"/>
      <c r="P20"/>
    </row>
    <row r="21" spans="2:16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  <c r="O21"/>
      <c r="P21"/>
    </row>
    <row r="22" spans="2:16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  <c r="O22"/>
      <c r="P22"/>
    </row>
    <row r="23" spans="2:16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>
        <v>7</v>
      </c>
      <c r="M23" s="85" t="s">
        <v>77</v>
      </c>
      <c r="N23" s="86"/>
      <c r="O23"/>
      <c r="P23"/>
    </row>
    <row r="24" spans="2:16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>
        <v>14</v>
      </c>
      <c r="M24" s="85" t="s">
        <v>57</v>
      </c>
      <c r="N24" s="86"/>
      <c r="O24"/>
      <c r="P24"/>
    </row>
    <row r="25" spans="2:16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>
        <v>21</v>
      </c>
      <c r="M25" s="85" t="s">
        <v>60</v>
      </c>
      <c r="N25" s="86"/>
      <c r="O25"/>
      <c r="P25"/>
    </row>
    <row r="26" spans="2:16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>
        <v>28</v>
      </c>
      <c r="M26" s="85" t="s">
        <v>65</v>
      </c>
      <c r="N26" s="86"/>
      <c r="O26"/>
      <c r="P26"/>
    </row>
    <row r="27" spans="2:16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  <c r="O27"/>
      <c r="P27"/>
    </row>
    <row r="28" spans="2:16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  <c r="O28"/>
      <c r="P28"/>
    </row>
    <row r="29" spans="2:16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>
        <v>1</v>
      </c>
      <c r="M29" s="85" t="s">
        <v>76</v>
      </c>
      <c r="N29" s="86"/>
      <c r="O29"/>
      <c r="P29"/>
    </row>
    <row r="30" spans="2:16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92"/>
      <c r="L30" s="17">
        <v>8</v>
      </c>
      <c r="M30" s="85" t="s">
        <v>54</v>
      </c>
      <c r="N30" s="86"/>
      <c r="O30"/>
      <c r="P30"/>
    </row>
    <row r="31" spans="2:16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92"/>
      <c r="L31" s="17">
        <v>15</v>
      </c>
      <c r="M31" s="29" t="s">
        <v>61</v>
      </c>
      <c r="N31" s="30"/>
      <c r="O31"/>
      <c r="P31"/>
    </row>
    <row r="32" spans="2:16" ht="18" customHeight="1" x14ac:dyDescent="0.2">
      <c r="B32" s="112" t="s">
        <v>53</v>
      </c>
      <c r="C32" s="113"/>
      <c r="D32" s="113"/>
      <c r="E32" s="113"/>
      <c r="F32" s="113"/>
      <c r="G32" s="113"/>
      <c r="H32" s="113"/>
      <c r="I32" s="113"/>
      <c r="J32" s="114"/>
      <c r="K32" s="92"/>
      <c r="L32" s="17">
        <v>22</v>
      </c>
      <c r="M32" s="132" t="s">
        <v>79</v>
      </c>
      <c r="N32" s="133"/>
      <c r="O32"/>
      <c r="P32"/>
    </row>
    <row r="33" spans="2:16" ht="31.5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91" t="s">
        <v>27</v>
      </c>
      <c r="L33" s="17"/>
      <c r="M33" s="132"/>
      <c r="N33" s="133"/>
      <c r="O33"/>
      <c r="P33"/>
    </row>
    <row r="34" spans="2:16" ht="28.5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92"/>
      <c r="L34" s="17">
        <v>23</v>
      </c>
      <c r="M34" s="132" t="s">
        <v>62</v>
      </c>
      <c r="N34" s="133"/>
      <c r="O34"/>
      <c r="P34"/>
    </row>
    <row r="35" spans="2:16" ht="18" customHeight="1" x14ac:dyDescent="0.2">
      <c r="B35" s="134"/>
      <c r="C35" s="135"/>
      <c r="D35" s="135"/>
      <c r="E35" s="135"/>
      <c r="F35" s="135"/>
      <c r="G35" s="135"/>
      <c r="H35" s="135"/>
      <c r="I35" s="135"/>
      <c r="J35" s="136"/>
      <c r="K35" s="92"/>
      <c r="L35" s="20"/>
      <c r="M35" s="128"/>
      <c r="N35" s="129"/>
      <c r="O35"/>
      <c r="P35"/>
    </row>
    <row r="36" spans="2:16" ht="16.5" customHeight="1" x14ac:dyDescent="0.2">
      <c r="K36" s="91" t="s">
        <v>28</v>
      </c>
      <c r="L36" s="41">
        <v>10</v>
      </c>
      <c r="M36" s="1" t="s">
        <v>78</v>
      </c>
    </row>
    <row r="37" spans="2:16" ht="16.5" customHeight="1" x14ac:dyDescent="0.2">
      <c r="K37" s="92"/>
    </row>
    <row r="38" spans="2:16" ht="16.5" customHeight="1" x14ac:dyDescent="0.2">
      <c r="K38" s="92"/>
    </row>
  </sheetData>
  <mergeCells count="110">
    <mergeCell ref="M30:N30"/>
    <mergeCell ref="M35:N35"/>
    <mergeCell ref="M33:N33"/>
    <mergeCell ref="M34:N34"/>
    <mergeCell ref="B32:J34"/>
    <mergeCell ref="M29:N29"/>
    <mergeCell ref="M32:N32"/>
    <mergeCell ref="B35:J35"/>
    <mergeCell ref="C28:D28"/>
    <mergeCell ref="E28:F28"/>
    <mergeCell ref="G28:H28"/>
    <mergeCell ref="I28:J28"/>
    <mergeCell ref="K28:K32"/>
    <mergeCell ref="M28:N28"/>
    <mergeCell ref="C29:D29"/>
    <mergeCell ref="E29:F29"/>
    <mergeCell ref="G29:H29"/>
    <mergeCell ref="I29:J29"/>
    <mergeCell ref="K33:K3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K36:K38"/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31 B35">
    <cfRule type="expression" dxfId="51" priority="2">
      <formula>B14&lt;&gt;""</formula>
    </cfRule>
  </conditionalFormatting>
  <conditionalFormatting sqref="B32">
    <cfRule type="expression" dxfId="50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I8" sqref="I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5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24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64">
        <f>IF(DAY(MarDom1)=1,MarDom1-2,MarDom1+5)</f>
        <v>43525</v>
      </c>
      <c r="H4" s="65">
        <f>IF(DAY(MarDom1)=1,MarDom1-1,MarDom1+6)</f>
        <v>43526</v>
      </c>
      <c r="I4" s="65">
        <f>IF(DAY(MarDom1)=1,MarDom1,MarDom1+7)</f>
        <v>43527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65">
        <f>IF(DAY(MarDom1)=1,MarDom1+1,MarDom1+8)</f>
        <v>43528</v>
      </c>
      <c r="D5" s="65">
        <f>IF(DAY(MarDom1)=1,MarDom1+2,MarDom1+9)</f>
        <v>43529</v>
      </c>
      <c r="E5" s="65">
        <f>IF(DAY(MarDom1)=1,MarDom1+3,MarDom1+10)</f>
        <v>43530</v>
      </c>
      <c r="F5" s="65">
        <f>IF(DAY(MarDom1)=1,MarDom1+4,MarDom1+11)</f>
        <v>43531</v>
      </c>
      <c r="G5" s="65">
        <f>IF(DAY(MarDom1)=1,MarDom1+5,MarDom1+12)</f>
        <v>43532</v>
      </c>
      <c r="H5" s="65">
        <f>IF(DAY(MarDom1)=1,MarDom1+6,MarDom1+13)</f>
        <v>43533</v>
      </c>
      <c r="I5" s="65">
        <f>IF(DAY(MarDom1)=1,MarDom1+7,MarDom1+14)</f>
        <v>43534</v>
      </c>
      <c r="J5" s="5"/>
      <c r="K5" s="92"/>
      <c r="L5" s="17"/>
      <c r="M5" s="85"/>
      <c r="N5" s="86"/>
    </row>
    <row r="6" spans="1:14" ht="18" customHeight="1" x14ac:dyDescent="0.2">
      <c r="A6" s="4"/>
      <c r="B6" s="119"/>
      <c r="C6" s="65">
        <f>IF(DAY(MarDom1)=1,MarDom1+8,MarDom1+15)</f>
        <v>43535</v>
      </c>
      <c r="D6" s="64">
        <f>IF(DAY(MarDom1)=1,MarDom1+9,MarDom1+16)</f>
        <v>43536</v>
      </c>
      <c r="E6" s="65">
        <f>IF(DAY(MarDom1)=1,MarDom1+10,MarDom1+17)</f>
        <v>43537</v>
      </c>
      <c r="F6" s="64">
        <f>IF(DAY(MarDom1)=1,MarDom1+11,MarDom1+18)</f>
        <v>43538</v>
      </c>
      <c r="G6" s="64">
        <f>IF(DAY(MarDom1)=1,MarDom1+12,MarDom1+19)</f>
        <v>43539</v>
      </c>
      <c r="H6" s="65">
        <f>IF(DAY(MarDom1)=1,MarDom1+13,MarDom1+20)</f>
        <v>43540</v>
      </c>
      <c r="I6" s="65">
        <f>IF(DAY(MarDom1)=1,MarDom1+14,MarDom1+21)</f>
        <v>43541</v>
      </c>
      <c r="J6" s="5"/>
      <c r="K6" s="92"/>
      <c r="L6" s="17"/>
      <c r="M6" s="85"/>
      <c r="N6" s="86"/>
    </row>
    <row r="7" spans="1:14" ht="18" customHeight="1" x14ac:dyDescent="0.2">
      <c r="A7" s="4"/>
      <c r="B7" s="119"/>
      <c r="C7" s="65">
        <f>IF(DAY(MarDom1)=1,MarDom1+15,MarDom1+22)</f>
        <v>43542</v>
      </c>
      <c r="D7" s="64">
        <f>IF(DAY(MarDom1)=1,MarDom1+16,MarDom1+23)</f>
        <v>43543</v>
      </c>
      <c r="E7" s="64">
        <f>IF(DAY(MarDom1)=1,MarDom1+17,MarDom1+24)</f>
        <v>43544</v>
      </c>
      <c r="F7" s="65">
        <f>IF(DAY(MarDom1)=1,MarDom1+18,MarDom1+25)</f>
        <v>43545</v>
      </c>
      <c r="G7" s="65">
        <f>IF(DAY(MarDom1)=1,MarDom1+19,MarDom1+26)</f>
        <v>43546</v>
      </c>
      <c r="H7" s="65">
        <f>IF(DAY(MarDom1)=1,MarDom1+20,MarDom1+27)</f>
        <v>43547</v>
      </c>
      <c r="I7" s="65">
        <f>IF(DAY(MarDom1)=1,MarDom1+21,MarDom1+28)</f>
        <v>43548</v>
      </c>
      <c r="J7" s="5"/>
      <c r="K7" s="11"/>
      <c r="L7" s="17"/>
      <c r="M7" s="85"/>
      <c r="N7" s="86"/>
    </row>
    <row r="8" spans="1:14" ht="18.75" customHeight="1" x14ac:dyDescent="0.2">
      <c r="A8" s="4"/>
      <c r="B8" s="119"/>
      <c r="C8" s="63">
        <f>IF(DAY(MarDom1)=1,MarDom1+22,MarDom1+29)</f>
        <v>43549</v>
      </c>
      <c r="D8" s="65">
        <f>IF(DAY(MarDom1)=1,MarDom1+23,MarDom1+30)</f>
        <v>43550</v>
      </c>
      <c r="E8" s="63">
        <f>IF(DAY(MarDom1)=1,MarDom1+24,MarDom1+31)</f>
        <v>43551</v>
      </c>
      <c r="F8" s="63">
        <f>IF(DAY(MarDom1)=1,MarDom1+25,MarDom1+32)</f>
        <v>43552</v>
      </c>
      <c r="G8" s="64">
        <f>IF(DAY(MarDom1)=1,MarDom1+26,MarDom1+33)</f>
        <v>43553</v>
      </c>
      <c r="H8" s="65">
        <f>IF(DAY(MarDom1)=1,MarDom1+27,MarDom1+34)</f>
        <v>43554</v>
      </c>
      <c r="I8" s="65">
        <f>IF(DAY(MarDom1)=1,MarDom1+28,MarDom1+35)</f>
        <v>43555</v>
      </c>
      <c r="J8" s="5"/>
      <c r="K8" s="11"/>
      <c r="L8" s="17">
        <v>25</v>
      </c>
      <c r="M8" s="85" t="s">
        <v>69</v>
      </c>
      <c r="N8" s="86"/>
    </row>
    <row r="9" spans="1:14" ht="18" customHeight="1" x14ac:dyDescent="0.2">
      <c r="A9" s="4"/>
      <c r="B9" s="119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>
        <v>12</v>
      </c>
      <c r="M11" s="85" t="s">
        <v>26</v>
      </c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>
        <v>19</v>
      </c>
      <c r="M12" s="85" t="s">
        <v>68</v>
      </c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/>
      <c r="M14" s="85"/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/>
      <c r="M17" s="85"/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/>
      <c r="M18" s="85"/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>
        <v>20</v>
      </c>
      <c r="M19" s="85" t="s">
        <v>42</v>
      </c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>
        <v>27</v>
      </c>
      <c r="M20" s="85" t="s">
        <v>70</v>
      </c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85"/>
      <c r="N22" s="86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>
        <v>14</v>
      </c>
      <c r="M23" s="85" t="s">
        <v>66</v>
      </c>
      <c r="N23" s="86"/>
    </row>
    <row r="24" spans="2:14" ht="30.75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/>
      <c r="M24" s="137"/>
      <c r="N24" s="138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>
        <v>28</v>
      </c>
      <c r="M25" s="85" t="s">
        <v>80</v>
      </c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/>
      <c r="M26" s="85"/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>
        <v>1</v>
      </c>
      <c r="M28" s="98" t="s">
        <v>64</v>
      </c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/>
      <c r="M29" s="85"/>
      <c r="N29" s="86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>
        <v>15</v>
      </c>
      <c r="M30" s="85" t="s">
        <v>67</v>
      </c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14"/>
      <c r="L31" s="17"/>
      <c r="M31" s="85"/>
      <c r="N31" s="86"/>
    </row>
    <row r="32" spans="2:14" ht="35.25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14"/>
      <c r="L32" s="17">
        <v>29</v>
      </c>
      <c r="M32" s="85" t="s">
        <v>81</v>
      </c>
      <c r="N32" s="86"/>
    </row>
    <row r="33" spans="2:14" ht="18" customHeight="1" x14ac:dyDescent="0.2">
      <c r="B33" s="7"/>
      <c r="C33" s="139"/>
      <c r="D33" s="140"/>
      <c r="E33" s="139"/>
      <c r="F33" s="140"/>
      <c r="G33" s="139"/>
      <c r="H33" s="140"/>
      <c r="I33" s="141"/>
      <c r="J33" s="142"/>
      <c r="K33" s="15"/>
      <c r="L33" s="20"/>
      <c r="M33" s="128"/>
      <c r="N33" s="129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7"/>
  <sheetViews>
    <sheetView showGridLines="0" zoomScaleNormal="100" zoomScalePageLayoutView="84" workbookViewId="0">
      <selection activeCell="G18" sqref="G18:H1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5703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23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64">
        <f>IF(DAY(AbrDom1)=1,AbrDom1-6,AbrDom1+1)</f>
        <v>43556</v>
      </c>
      <c r="D4" s="64">
        <f>IF(DAY(AbrDom1)=1,AbrDom1-5,AbrDom1+2)</f>
        <v>43557</v>
      </c>
      <c r="E4" s="64">
        <f>IF(DAY(AbrDom1)=1,AbrDom1-4,AbrDom1+3)</f>
        <v>43558</v>
      </c>
      <c r="F4" s="64">
        <f>IF(DAY(AbrDom1)=1,AbrDom1-3,AbrDom1+4)</f>
        <v>43559</v>
      </c>
      <c r="G4" s="64">
        <f>IF(DAY(AbrDom1)=1,AbrDom1-2,AbrDom1+5)</f>
        <v>43560</v>
      </c>
      <c r="H4" s="65">
        <f>IF(DAY(AbrDom1)=1,AbrDom1-1,AbrDom1+6)</f>
        <v>43561</v>
      </c>
      <c r="I4" s="65">
        <f>IF(DAY(AbrDom1)=1,AbrDom1,AbrDom1+7)</f>
        <v>43562</v>
      </c>
      <c r="J4" s="5"/>
      <c r="K4" s="93" t="s">
        <v>11</v>
      </c>
      <c r="L4" s="16">
        <v>1</v>
      </c>
      <c r="M4" s="94" t="s">
        <v>71</v>
      </c>
      <c r="N4" s="95"/>
    </row>
    <row r="5" spans="1:14" ht="18" customHeight="1" x14ac:dyDescent="0.2">
      <c r="A5" s="4"/>
      <c r="B5" s="119"/>
      <c r="C5" s="64">
        <f>IF(DAY(AbrDom1)=1,AbrDom1+1,AbrDom1+8)</f>
        <v>43563</v>
      </c>
      <c r="D5" s="64">
        <f>IF(DAY(AbrDom1)=1,AbrDom1+2,AbrDom1+9)</f>
        <v>43564</v>
      </c>
      <c r="E5" s="64">
        <f>IF(DAY(AbrDom1)=1,AbrDom1+3,AbrDom1+10)</f>
        <v>43565</v>
      </c>
      <c r="F5" s="64">
        <f>IF(DAY(AbrDom1)=1,AbrDom1+4,AbrDom1+11)</f>
        <v>43566</v>
      </c>
      <c r="G5" s="64">
        <f>IF(DAY(AbrDom1)=1,AbrDom1+5,AbrDom1+12)</f>
        <v>43567</v>
      </c>
      <c r="H5" s="64">
        <f>IF(DAY(AbrDom1)=1,AbrDom1+6,AbrDom1+13)</f>
        <v>43568</v>
      </c>
      <c r="I5" s="64">
        <f>IF(DAY(AbrDom1)=1,AbrDom1+7,AbrDom1+14)</f>
        <v>43569</v>
      </c>
      <c r="J5" s="5"/>
      <c r="K5" s="92"/>
      <c r="L5" s="17">
        <v>8</v>
      </c>
      <c r="M5" s="85" t="s">
        <v>72</v>
      </c>
      <c r="N5" s="86"/>
    </row>
    <row r="6" spans="1:14" ht="18" customHeight="1" x14ac:dyDescent="0.2">
      <c r="A6" s="4"/>
      <c r="B6" s="119"/>
      <c r="C6" s="65">
        <f>IF(DAY(AbrDom1)=1,AbrDom1+8,AbrDom1+15)</f>
        <v>43570</v>
      </c>
      <c r="D6" s="65">
        <f>IF(DAY(AbrDom1)=1,AbrDom1+9,AbrDom1+16)</f>
        <v>43571</v>
      </c>
      <c r="E6" s="64">
        <f>IF(DAY(AbrDom1)=1,AbrDom1+10,AbrDom1+17)</f>
        <v>43572</v>
      </c>
      <c r="F6" s="65">
        <f>IF(DAY(AbrDom1)=1,AbrDom1+11,AbrDom1+18)</f>
        <v>43573</v>
      </c>
      <c r="G6" s="65">
        <f>IF(DAY(AbrDom1)=1,AbrDom1+12,AbrDom1+19)</f>
        <v>43574</v>
      </c>
      <c r="H6" s="65">
        <f>IF(DAY(AbrDom1)=1,AbrDom1+13,AbrDom1+20)</f>
        <v>43575</v>
      </c>
      <c r="I6" s="65">
        <f>IF(DAY(AbrDom1)=1,AbrDom1+14,AbrDom1+21)</f>
        <v>43576</v>
      </c>
      <c r="J6" s="5"/>
      <c r="K6" s="92"/>
      <c r="L6" s="17"/>
      <c r="M6" s="85"/>
      <c r="N6" s="86"/>
    </row>
    <row r="7" spans="1:14" ht="18" customHeight="1" x14ac:dyDescent="0.2">
      <c r="A7" s="4"/>
      <c r="B7" s="119"/>
      <c r="C7" s="64">
        <f>IF(DAY(AbrDom1)=1,AbrDom1+15,AbrDom1+22)</f>
        <v>43577</v>
      </c>
      <c r="D7" s="65">
        <f>IF(DAY(AbrDom1)=1,AbrDom1+16,AbrDom1+23)</f>
        <v>43578</v>
      </c>
      <c r="E7" s="65">
        <f>IF(DAY(AbrDom1)=1,AbrDom1+17,AbrDom1+24)</f>
        <v>43579</v>
      </c>
      <c r="F7" s="64">
        <f>IF(DAY(AbrDom1)=1,AbrDom1+18,AbrDom1+25)</f>
        <v>43580</v>
      </c>
      <c r="G7" s="65">
        <f>IF(DAY(AbrDom1)=1,AbrDom1+19,AbrDom1+26)</f>
        <v>43581</v>
      </c>
      <c r="H7" s="65">
        <f>IF(DAY(AbrDom1)=1,AbrDom1+20,AbrDom1+27)</f>
        <v>43582</v>
      </c>
      <c r="I7" s="65">
        <f>IF(DAY(AbrDom1)=1,AbrDom1+21,AbrDom1+28)</f>
        <v>43583</v>
      </c>
      <c r="J7" s="5"/>
      <c r="K7" s="11"/>
      <c r="L7" s="17">
        <v>22</v>
      </c>
      <c r="M7" s="85" t="s">
        <v>88</v>
      </c>
      <c r="N7" s="86"/>
    </row>
    <row r="8" spans="1:14" ht="18.75" customHeight="1" x14ac:dyDescent="0.2">
      <c r="A8" s="4"/>
      <c r="B8" s="119"/>
      <c r="C8" s="65">
        <f>IF(DAY(AbrDom1)=1,AbrDom1+22,AbrDom1+29)</f>
        <v>43584</v>
      </c>
      <c r="D8" s="64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85"/>
      <c r="N8" s="86"/>
    </row>
    <row r="9" spans="1:14" ht="18" customHeight="1" x14ac:dyDescent="0.2">
      <c r="A9" s="4"/>
      <c r="B9" s="119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>
        <v>2</v>
      </c>
      <c r="M11" s="85" t="s">
        <v>82</v>
      </c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>
        <v>9</v>
      </c>
      <c r="M12" s="85" t="s">
        <v>83</v>
      </c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>
        <v>30</v>
      </c>
      <c r="M14" s="85" t="s">
        <v>89</v>
      </c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2.75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>
        <v>3</v>
      </c>
      <c r="M16" s="27" t="s">
        <v>44</v>
      </c>
      <c r="N16" s="28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>
        <v>10</v>
      </c>
      <c r="M17" s="85" t="s">
        <v>84</v>
      </c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>
        <v>17</v>
      </c>
      <c r="M18" s="85" t="s">
        <v>87</v>
      </c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/>
      <c r="M19" s="85"/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/>
      <c r="M20" s="85"/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>
        <v>4</v>
      </c>
      <c r="M23" s="85" t="s">
        <v>42</v>
      </c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>
        <v>11</v>
      </c>
      <c r="M24" s="85" t="s">
        <v>85</v>
      </c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/>
      <c r="M25" s="85"/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>
        <v>25</v>
      </c>
      <c r="M26" s="85" t="s">
        <v>87</v>
      </c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>
        <v>5</v>
      </c>
      <c r="M29" s="85" t="s">
        <v>73</v>
      </c>
      <c r="N29" s="86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>
        <v>12</v>
      </c>
      <c r="M30" s="85" t="s">
        <v>86</v>
      </c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31"/>
      <c r="L31" s="17"/>
      <c r="M31" s="29"/>
      <c r="N31" s="30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91" t="s">
        <v>27</v>
      </c>
      <c r="L32" s="17">
        <v>13</v>
      </c>
      <c r="M32" s="85" t="s">
        <v>74</v>
      </c>
      <c r="N32" s="86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92"/>
      <c r="L33" s="17"/>
      <c r="M33" s="85"/>
      <c r="N33" s="86"/>
    </row>
    <row r="34" spans="2:14" ht="18" customHeight="1" x14ac:dyDescent="0.2">
      <c r="B34" s="7"/>
      <c r="C34" s="139"/>
      <c r="D34" s="140"/>
      <c r="E34" s="139"/>
      <c r="F34" s="140"/>
      <c r="G34" s="139"/>
      <c r="H34" s="140"/>
      <c r="I34" s="141"/>
      <c r="J34" s="142"/>
      <c r="K34" s="92"/>
      <c r="L34" s="20"/>
      <c r="M34" s="128"/>
      <c r="N34" s="129"/>
    </row>
    <row r="35" spans="2:14" ht="16.5" customHeight="1" x14ac:dyDescent="0.2">
      <c r="K35" s="91" t="s">
        <v>28</v>
      </c>
      <c r="L35" s="37">
        <v>14</v>
      </c>
      <c r="M35" s="1" t="s">
        <v>74</v>
      </c>
    </row>
    <row r="36" spans="2:14" ht="16.5" customHeight="1" x14ac:dyDescent="0.2">
      <c r="K36" s="92"/>
    </row>
    <row r="37" spans="2:14" ht="16.5" customHeight="1" x14ac:dyDescent="0.2">
      <c r="K37" s="92"/>
    </row>
  </sheetData>
  <mergeCells count="112">
    <mergeCell ref="K35:K37"/>
    <mergeCell ref="C34:D34"/>
    <mergeCell ref="E34:F34"/>
    <mergeCell ref="G34:H34"/>
    <mergeCell ref="I34:J34"/>
    <mergeCell ref="M34:N34"/>
    <mergeCell ref="M32:N32"/>
    <mergeCell ref="M33:N33"/>
    <mergeCell ref="B30:J33"/>
    <mergeCell ref="M29:N29"/>
    <mergeCell ref="M30:N30"/>
    <mergeCell ref="K32:K34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4:J34">
    <cfRule type="expression" dxfId="41" priority="2">
      <formula>B14&lt;&gt;""</formula>
    </cfRule>
  </conditionalFormatting>
  <conditionalFormatting sqref="B30:B31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1" zoomScaleNormal="100" zoomScalePageLayoutView="84" workbookViewId="0">
      <selection activeCell="H10" sqref="H1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42578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22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IF(DAY(MayDom1)=1,MayDom1-6,MayDom1+1)</f>
        <v>43584</v>
      </c>
      <c r="D4" s="10">
        <f>IF(DAY(MayDom1)=1,MayDom1-5,MayDom1+2)</f>
        <v>43585</v>
      </c>
      <c r="E4" s="65">
        <v>1</v>
      </c>
      <c r="F4" s="65">
        <f>IF(DAY(MayDom1)=1,MayDom1-3,MayDom1+4)</f>
        <v>43587</v>
      </c>
      <c r="G4" s="65">
        <f>IF(DAY(MayDom1)=1,MayDom1-2,MayDom1+5)</f>
        <v>43588</v>
      </c>
      <c r="H4" s="65">
        <f>IF(DAY(MayDom1)=1,MayDom1-1,MayDom1+6)</f>
        <v>43589</v>
      </c>
      <c r="I4" s="65">
        <f>IF(DAY(MayDom1)=1,MayDom1,MayDom1+7)</f>
        <v>43590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63">
        <f>IF(DAY(MayDom1)=1,MayDom1+1,MayDom1+8)</f>
        <v>43591</v>
      </c>
      <c r="D5" s="63">
        <f>IF(DAY(MayDom1)=1,MayDom1+2,MayDom1+9)</f>
        <v>43592</v>
      </c>
      <c r="E5" s="64">
        <f>IF(DAY(MayDom1)=1,MayDom1+3,MayDom1+10)</f>
        <v>43593</v>
      </c>
      <c r="F5" s="64">
        <f>IF(DAY(MayDom1)=1,MayDom1+4,MayDom1+11)</f>
        <v>43594</v>
      </c>
      <c r="G5" s="64">
        <f>IF(DAY(MayDom1)=1,MayDom1+5,MayDom1+12)</f>
        <v>43595</v>
      </c>
      <c r="H5" s="64">
        <f>IF(DAY(MayDom1)=1,MayDom1+6,MayDom1+13)</f>
        <v>43596</v>
      </c>
      <c r="I5" s="65">
        <f>IF(DAY(MayDom1)=1,MayDom1+7,MayDom1+14)</f>
        <v>43597</v>
      </c>
      <c r="J5" s="5"/>
      <c r="K5" s="92"/>
      <c r="L5" s="17">
        <v>6</v>
      </c>
      <c r="M5" s="85" t="s">
        <v>90</v>
      </c>
      <c r="N5" s="86"/>
    </row>
    <row r="6" spans="1:14" ht="18" customHeight="1" x14ac:dyDescent="0.2">
      <c r="A6" s="4"/>
      <c r="B6" s="119"/>
      <c r="C6" s="63">
        <f>IF(DAY(MayDom1)=1,MayDom1+8,MayDom1+15)</f>
        <v>43598</v>
      </c>
      <c r="D6" s="63">
        <f>IF(DAY(MayDom1)=1,MayDom1+9,MayDom1+16)</f>
        <v>43599</v>
      </c>
      <c r="E6" s="64">
        <f>IF(DAY(MayDom1)=1,MayDom1+10,MayDom1+17)</f>
        <v>43600</v>
      </c>
      <c r="F6" s="64">
        <f>IF(DAY(MayDom1)=1,MayDom1+11,MayDom1+18)</f>
        <v>43601</v>
      </c>
      <c r="G6" s="64">
        <f>IF(DAY(MayDom1)=1,MayDom1+12,MayDom1+19)</f>
        <v>43602</v>
      </c>
      <c r="H6" s="65">
        <f>IF(DAY(MayDom1)=1,MayDom1+13,MayDom1+20)</f>
        <v>43603</v>
      </c>
      <c r="I6" s="65">
        <f>IF(DAY(MayDom1)=1,MayDom1+14,MayDom1+21)</f>
        <v>43604</v>
      </c>
      <c r="J6" s="5"/>
      <c r="K6" s="92"/>
      <c r="L6" s="17">
        <v>13</v>
      </c>
      <c r="M6" s="85" t="s">
        <v>96</v>
      </c>
      <c r="N6" s="86"/>
    </row>
    <row r="7" spans="1:14" ht="18" customHeight="1" x14ac:dyDescent="0.2">
      <c r="A7" s="4"/>
      <c r="B7" s="119"/>
      <c r="C7" s="63">
        <f>IF(DAY(MayDom1)=1,MayDom1+15,MayDom1+22)</f>
        <v>43605</v>
      </c>
      <c r="D7" s="63">
        <f>IF(DAY(MayDom1)=1,MayDom1+16,MayDom1+23)</f>
        <v>43606</v>
      </c>
      <c r="E7" s="64">
        <f>IF(DAY(MayDom1)=1,MayDom1+17,MayDom1+24)</f>
        <v>43607</v>
      </c>
      <c r="F7" s="64">
        <f>IF(DAY(MayDom1)=1,MayDom1+18,MayDom1+25)</f>
        <v>43608</v>
      </c>
      <c r="G7" s="64">
        <f>IF(DAY(MayDom1)=1,MayDom1+19,MayDom1+26)</f>
        <v>43609</v>
      </c>
      <c r="H7" s="65">
        <f>IF(DAY(MayDom1)=1,MayDom1+20,MayDom1+27)</f>
        <v>43610</v>
      </c>
      <c r="I7" s="65">
        <f>IF(DAY(MayDom1)=1,MayDom1+21,MayDom1+28)</f>
        <v>43611</v>
      </c>
      <c r="J7" s="5"/>
      <c r="K7" s="11"/>
      <c r="L7" s="17">
        <v>20</v>
      </c>
      <c r="M7" s="85" t="s">
        <v>100</v>
      </c>
      <c r="N7" s="86"/>
    </row>
    <row r="8" spans="1:14" ht="18.75" customHeight="1" x14ac:dyDescent="0.2">
      <c r="A8" s="4"/>
      <c r="B8" s="119"/>
      <c r="C8" s="63">
        <f>IF(DAY(MayDom1)=1,MayDom1+22,MayDom1+29)</f>
        <v>43612</v>
      </c>
      <c r="D8" s="63">
        <f>IF(DAY(MayDom1)=1,MayDom1+23,MayDom1+30)</f>
        <v>43613</v>
      </c>
      <c r="E8" s="63">
        <f>IF(DAY(MayDom1)=1,MayDom1+24,MayDom1+31)</f>
        <v>43614</v>
      </c>
      <c r="F8" s="63">
        <f>IF(DAY(MayDom1)=1,MayDom1+25,MayDom1+32)</f>
        <v>43615</v>
      </c>
      <c r="G8" s="63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>
        <v>27</v>
      </c>
      <c r="M8" s="85" t="s">
        <v>106</v>
      </c>
      <c r="N8" s="86"/>
    </row>
    <row r="9" spans="1:14" ht="18" customHeight="1" x14ac:dyDescent="0.2">
      <c r="A9" s="4"/>
      <c r="B9" s="119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>
        <v>7</v>
      </c>
      <c r="M11" s="85" t="s">
        <v>91</v>
      </c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>
        <v>14</v>
      </c>
      <c r="M12" s="85" t="s">
        <v>97</v>
      </c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>
        <v>21</v>
      </c>
      <c r="M13" s="85" t="s">
        <v>101</v>
      </c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>
        <v>28</v>
      </c>
      <c r="M14" s="85" t="s">
        <v>107</v>
      </c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>
        <v>8</v>
      </c>
      <c r="M17" s="85" t="s">
        <v>92</v>
      </c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>
        <v>15</v>
      </c>
      <c r="M18" s="85" t="s">
        <v>98</v>
      </c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>
        <v>22</v>
      </c>
      <c r="M19" s="85" t="s">
        <v>102</v>
      </c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>
        <v>29</v>
      </c>
      <c r="M20" s="85" t="s">
        <v>108</v>
      </c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/>
      <c r="M23" s="85"/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>
        <v>9</v>
      </c>
      <c r="M24" s="85" t="s">
        <v>93</v>
      </c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>
        <v>16</v>
      </c>
      <c r="M25" s="85" t="s">
        <v>34</v>
      </c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>
        <v>23</v>
      </c>
      <c r="M26" s="85" t="s">
        <v>103</v>
      </c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>
        <v>30</v>
      </c>
      <c r="M27" s="96" t="s">
        <v>109</v>
      </c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>
        <v>10</v>
      </c>
      <c r="M29" s="85" t="s">
        <v>94</v>
      </c>
      <c r="N29" s="86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>
        <v>17</v>
      </c>
      <c r="M30" s="85" t="s">
        <v>99</v>
      </c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38"/>
      <c r="L31" s="17">
        <v>24</v>
      </c>
      <c r="M31" s="39" t="s">
        <v>104</v>
      </c>
      <c r="N31" s="40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38"/>
      <c r="L32" s="17">
        <v>31</v>
      </c>
      <c r="M32" s="39" t="s">
        <v>110</v>
      </c>
      <c r="N32" s="40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91" t="s">
        <v>27</v>
      </c>
      <c r="L33" s="17"/>
      <c r="M33" s="85"/>
      <c r="N33" s="86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92"/>
      <c r="L34" s="17">
        <v>11</v>
      </c>
      <c r="M34" s="85" t="s">
        <v>95</v>
      </c>
      <c r="N34" s="86"/>
    </row>
    <row r="35" spans="2:14" ht="18" customHeight="1" x14ac:dyDescent="0.2">
      <c r="B35" s="7"/>
      <c r="C35" s="139"/>
      <c r="D35" s="140"/>
      <c r="E35" s="139"/>
      <c r="F35" s="140"/>
      <c r="G35" s="139"/>
      <c r="H35" s="140"/>
      <c r="I35" s="141"/>
      <c r="J35" s="142"/>
      <c r="K35" s="92"/>
      <c r="L35" s="20"/>
      <c r="M35" s="128"/>
      <c r="N35" s="129"/>
    </row>
    <row r="36" spans="2:14" ht="16.5" customHeight="1" x14ac:dyDescent="0.2">
      <c r="K36" s="91" t="s">
        <v>28</v>
      </c>
      <c r="L36" s="41">
        <v>26</v>
      </c>
      <c r="M36" s="1" t="s">
        <v>105</v>
      </c>
    </row>
    <row r="37" spans="2:14" ht="16.5" customHeight="1" x14ac:dyDescent="0.2">
      <c r="K37" s="92"/>
    </row>
    <row r="38" spans="2:14" ht="16.5" customHeight="1" x14ac:dyDescent="0.2">
      <c r="K38" s="92"/>
    </row>
  </sheetData>
  <mergeCells count="113"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5:J35">
    <cfRule type="expression" dxfId="36" priority="2">
      <formula>B14&lt;&gt;""</formula>
    </cfRule>
  </conditionalFormatting>
  <conditionalFormatting sqref="B30:B32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zoomScaleNormal="100" zoomScalePageLayoutView="84" workbookViewId="0">
      <selection activeCell="B11" sqref="B11:J1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2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21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65">
        <f>IF(DAY(JunDom1)=1,JunDom1-1,JunDom1+6)</f>
        <v>43617</v>
      </c>
      <c r="I4" s="65">
        <f>IF(DAY(JunDom1)=1,JunDom1,JunDom1+7)</f>
        <v>43618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63">
        <f>IF(DAY(JunDom1)=1,JunDom1+1,JunDom1+8)</f>
        <v>43619</v>
      </c>
      <c r="D5" s="63">
        <f>IF(DAY(JunDom1)=1,JunDom1+2,JunDom1+9)</f>
        <v>43620</v>
      </c>
      <c r="E5" s="63">
        <f>IF(DAY(JunDom1)=1,JunDom1+3,JunDom1+10)</f>
        <v>43621</v>
      </c>
      <c r="F5" s="63">
        <f>IF(DAY(JunDom1)=1,JunDom1+4,JunDom1+11)</f>
        <v>43622</v>
      </c>
      <c r="G5" s="63">
        <f>IF(DAY(JunDom1)=1,JunDom1+5,JunDom1+12)</f>
        <v>43623</v>
      </c>
      <c r="H5" s="65">
        <f>IF(DAY(JunDom1)=1,JunDom1+6,JunDom1+13)</f>
        <v>43624</v>
      </c>
      <c r="I5" s="65">
        <f>IF(DAY(JunDom1)=1,JunDom1+7,JunDom1+14)</f>
        <v>43625</v>
      </c>
      <c r="J5" s="5"/>
      <c r="K5" s="92"/>
      <c r="L5" s="17">
        <v>3</v>
      </c>
      <c r="M5" s="85" t="s">
        <v>111</v>
      </c>
      <c r="N5" s="86"/>
    </row>
    <row r="6" spans="1:14" ht="18" customHeight="1" x14ac:dyDescent="0.2">
      <c r="A6" s="4"/>
      <c r="B6" s="119"/>
      <c r="C6" s="63">
        <f>IF(DAY(JunDom1)=1,JunDom1+8,JunDom1+15)</f>
        <v>43626</v>
      </c>
      <c r="D6" s="63">
        <f>IF(DAY(JunDom1)=1,JunDom1+9,JunDom1+16)</f>
        <v>43627</v>
      </c>
      <c r="E6" s="63">
        <f>IF(DAY(JunDom1)=1,JunDom1+10,JunDom1+17)</f>
        <v>43628</v>
      </c>
      <c r="F6" s="63">
        <f>IF(DAY(JunDom1)=1,JunDom1+11,JunDom1+18)</f>
        <v>43629</v>
      </c>
      <c r="G6" s="63">
        <f>IF(DAY(JunDom1)=1,JunDom1+12,JunDom1+19)</f>
        <v>43630</v>
      </c>
      <c r="H6" s="65">
        <f>IF(DAY(JunDom1)=1,JunDom1+13,JunDom1+20)</f>
        <v>43631</v>
      </c>
      <c r="I6" s="65">
        <f>IF(DAY(JunDom1)=1,JunDom1+14,JunDom1+21)</f>
        <v>43632</v>
      </c>
      <c r="J6" s="5"/>
      <c r="K6" s="92"/>
      <c r="L6" s="17">
        <v>10</v>
      </c>
      <c r="M6" s="85" t="s">
        <v>116</v>
      </c>
      <c r="N6" s="86"/>
    </row>
    <row r="7" spans="1:14" ht="18" customHeight="1" x14ac:dyDescent="0.2">
      <c r="A7" s="4"/>
      <c r="B7" s="119"/>
      <c r="C7" s="63">
        <f>IF(DAY(JunDom1)=1,JunDom1+15,JunDom1+22)</f>
        <v>43633</v>
      </c>
      <c r="D7" s="63">
        <f>IF(DAY(JunDom1)=1,JunDom1+16,JunDom1+23)</f>
        <v>43634</v>
      </c>
      <c r="E7" s="63">
        <f>IF(DAY(JunDom1)=1,JunDom1+17,JunDom1+24)</f>
        <v>43635</v>
      </c>
      <c r="F7" s="63">
        <f>IF(DAY(JunDom1)=1,JunDom1+18,JunDom1+25)</f>
        <v>43636</v>
      </c>
      <c r="G7" s="63">
        <f>IF(DAY(JunDom1)=1,JunDom1+19,JunDom1+26)</f>
        <v>43637</v>
      </c>
      <c r="H7" s="65">
        <f>IF(DAY(JunDom1)=1,JunDom1+20,JunDom1+27)</f>
        <v>43638</v>
      </c>
      <c r="I7" s="65">
        <f>IF(DAY(JunDom1)=1,JunDom1+21,JunDom1+28)</f>
        <v>43639</v>
      </c>
      <c r="J7" s="5"/>
      <c r="K7" s="11"/>
      <c r="L7" s="17">
        <v>17</v>
      </c>
      <c r="M7" s="85" t="s">
        <v>122</v>
      </c>
      <c r="N7" s="86"/>
    </row>
    <row r="8" spans="1:14" ht="18.75" customHeight="1" x14ac:dyDescent="0.2">
      <c r="A8" s="4"/>
      <c r="B8" s="119"/>
      <c r="C8" s="63">
        <f>IF(DAY(JunDom1)=1,JunDom1+22,JunDom1+29)</f>
        <v>43640</v>
      </c>
      <c r="D8" s="63">
        <f>IF(DAY(JunDom1)=1,JunDom1+23,JunDom1+30)</f>
        <v>43641</v>
      </c>
      <c r="E8" s="63">
        <f>IF(DAY(JunDom1)=1,JunDom1+24,JunDom1+31)</f>
        <v>43642</v>
      </c>
      <c r="F8" s="63">
        <f>IF(DAY(JunDom1)=1,JunDom1+25,JunDom1+32)</f>
        <v>43643</v>
      </c>
      <c r="G8" s="63">
        <f>IF(DAY(JunDom1)=1,JunDom1+26,JunDom1+33)</f>
        <v>43644</v>
      </c>
      <c r="H8" s="65">
        <f>IF(DAY(JunDom1)=1,JunDom1+27,JunDom1+34)</f>
        <v>43645</v>
      </c>
      <c r="I8" s="65">
        <f>IF(DAY(JunDom1)=1,JunDom1+28,JunDom1+35)</f>
        <v>43646</v>
      </c>
      <c r="J8" s="5"/>
      <c r="K8" s="11"/>
      <c r="L8" s="17">
        <v>24</v>
      </c>
      <c r="M8" s="85" t="s">
        <v>127</v>
      </c>
      <c r="N8" s="86"/>
    </row>
    <row r="9" spans="1:14" ht="18" customHeight="1" x14ac:dyDescent="0.2">
      <c r="A9" s="4"/>
      <c r="B9" s="119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>
        <v>4</v>
      </c>
      <c r="M11" s="85" t="s">
        <v>112</v>
      </c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>
        <v>11</v>
      </c>
      <c r="M12" s="85" t="s">
        <v>117</v>
      </c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>
        <v>18</v>
      </c>
      <c r="M13" s="85" t="s">
        <v>123</v>
      </c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>
        <v>25</v>
      </c>
      <c r="M14" s="85" t="s">
        <v>128</v>
      </c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>
        <v>5</v>
      </c>
      <c r="M17" s="85" t="s">
        <v>113</v>
      </c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>
        <v>12</v>
      </c>
      <c r="M18" s="85" t="s">
        <v>118</v>
      </c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>
        <v>19</v>
      </c>
      <c r="M19" s="85" t="s">
        <v>124</v>
      </c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>
        <v>26</v>
      </c>
      <c r="M20" s="85" t="s">
        <v>129</v>
      </c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>
        <v>6</v>
      </c>
      <c r="M23" s="85" t="s">
        <v>114</v>
      </c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>
        <v>13</v>
      </c>
      <c r="M24" s="85" t="s">
        <v>119</v>
      </c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>
        <v>20</v>
      </c>
      <c r="M25" s="85" t="s">
        <v>125</v>
      </c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>
        <v>27</v>
      </c>
      <c r="M26" s="85" t="s">
        <v>130</v>
      </c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>
        <v>7</v>
      </c>
      <c r="M29" s="85" t="s">
        <v>115</v>
      </c>
      <c r="N29" s="86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>
        <v>14</v>
      </c>
      <c r="M30" s="85" t="s">
        <v>120</v>
      </c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44"/>
      <c r="L31" s="17">
        <v>21</v>
      </c>
      <c r="M31" s="42" t="s">
        <v>126</v>
      </c>
      <c r="N31" s="43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44"/>
      <c r="L32" s="17">
        <v>28</v>
      </c>
      <c r="M32" s="42" t="s">
        <v>131</v>
      </c>
      <c r="N32" s="43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91" t="s">
        <v>27</v>
      </c>
      <c r="L33" s="17"/>
      <c r="M33" s="85"/>
      <c r="N33" s="86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92"/>
      <c r="L34" s="17"/>
      <c r="M34" s="85"/>
      <c r="N34" s="86"/>
    </row>
    <row r="35" spans="2:14" ht="18" customHeight="1" x14ac:dyDescent="0.2">
      <c r="B35" s="7"/>
      <c r="C35" s="139"/>
      <c r="D35" s="140"/>
      <c r="E35" s="139"/>
      <c r="F35" s="140"/>
      <c r="G35" s="139"/>
      <c r="H35" s="140"/>
      <c r="I35" s="141"/>
      <c r="J35" s="142"/>
      <c r="K35" s="92"/>
      <c r="L35" s="20"/>
      <c r="M35" s="128"/>
      <c r="N35" s="129"/>
    </row>
    <row r="36" spans="2:14" ht="16.5" customHeight="1" x14ac:dyDescent="0.2">
      <c r="K36" s="91" t="s">
        <v>28</v>
      </c>
      <c r="L36" s="37">
        <v>9</v>
      </c>
      <c r="M36" s="1" t="s">
        <v>105</v>
      </c>
    </row>
    <row r="37" spans="2:14" ht="16.5" customHeight="1" x14ac:dyDescent="0.2">
      <c r="K37" s="92"/>
      <c r="L37" s="37">
        <v>16</v>
      </c>
      <c r="M37" s="1" t="s">
        <v>121</v>
      </c>
    </row>
    <row r="38" spans="2:14" ht="16.5" customHeight="1" x14ac:dyDescent="0.2">
      <c r="K38" s="92"/>
      <c r="L38" s="37">
        <v>23</v>
      </c>
      <c r="M38" s="1" t="s">
        <v>105</v>
      </c>
    </row>
  </sheetData>
  <mergeCells count="113"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5:J35">
    <cfRule type="expression" dxfId="31" priority="2">
      <formula>B14&lt;&gt;""</formula>
    </cfRule>
  </conditionalFormatting>
  <conditionalFormatting sqref="B30:B32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9"/>
  <sheetViews>
    <sheetView showGridLines="0" topLeftCell="A21" zoomScaleNormal="100" zoomScalePageLayoutView="84" workbookViewId="0">
      <selection activeCell="M10" sqref="M9:N1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52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20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63">
        <f>IF(DAY(JulDom1)=1,JulDom1-6,JulDom1+1)</f>
        <v>43647</v>
      </c>
      <c r="D4" s="63">
        <f>IF(DAY(JulDom1)=1,JulDom1-5,JulDom1+2)</f>
        <v>43648</v>
      </c>
      <c r="E4" s="63">
        <f>IF(DAY(JulDom1)=1,JulDom1-4,JulDom1+3)</f>
        <v>43649</v>
      </c>
      <c r="F4" s="63">
        <f>IF(DAY(JulDom1)=1,JulDom1-3,JulDom1+4)</f>
        <v>43650</v>
      </c>
      <c r="G4" s="63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63">
        <f>IF(DAY(JulDom1)=1,JulDom1+1,JulDom1+8)</f>
        <v>43654</v>
      </c>
      <c r="D5" s="63">
        <f>IF(DAY(JulDom1)=1,JulDom1+2,JulDom1+9)</f>
        <v>43655</v>
      </c>
      <c r="E5" s="63">
        <f>IF(DAY(JulDom1)=1,JulDom1+3,JulDom1+10)</f>
        <v>43656</v>
      </c>
      <c r="F5" s="63">
        <f>IF(DAY(JulDom1)=1,JulDom1+4,JulDom1+11)</f>
        <v>43657</v>
      </c>
      <c r="G5" s="63">
        <f>IF(DAY(JulDom1)=1,JulDom1+5,JulDom1+12)</f>
        <v>43658</v>
      </c>
      <c r="H5" s="63">
        <f>IF(DAY(JulDom1)=1,JulDom1+6,JulDom1+13)</f>
        <v>43659</v>
      </c>
      <c r="I5" s="10">
        <f>IF(DAY(JulDom1)=1,JulDom1+7,JulDom1+14)</f>
        <v>43660</v>
      </c>
      <c r="J5" s="5"/>
      <c r="K5" s="92"/>
      <c r="L5" s="17">
        <v>1</v>
      </c>
      <c r="M5" s="85" t="s">
        <v>132</v>
      </c>
      <c r="N5" s="86"/>
    </row>
    <row r="6" spans="1:14" ht="18" customHeight="1" x14ac:dyDescent="0.2">
      <c r="A6" s="4"/>
      <c r="B6" s="119"/>
      <c r="C6" s="63">
        <f>IF(DAY(JulDom1)=1,JulDom1+8,JulDom1+15)</f>
        <v>43661</v>
      </c>
      <c r="D6" s="63">
        <f>IF(DAY(JulDom1)=1,JulDom1+9,JulDom1+16)</f>
        <v>43662</v>
      </c>
      <c r="E6" s="63">
        <f>IF(DAY(JulDom1)=1,JulDom1+10,JulDom1+17)</f>
        <v>43663</v>
      </c>
      <c r="F6" s="63">
        <f>IF(DAY(JulDom1)=1,JulDom1+11,JulDom1+18)</f>
        <v>43664</v>
      </c>
      <c r="G6" s="63">
        <f>IF(DAY(JulDom1)=1,JulDom1+12,JulDom1+19)</f>
        <v>43665</v>
      </c>
      <c r="H6" s="63">
        <f>IF(DAY(JulDom1)=1,JulDom1+13,JulDom1+20)</f>
        <v>43666</v>
      </c>
      <c r="I6" s="10">
        <f>IF(DAY(JulDom1)=1,JulDom1+14,JulDom1+21)</f>
        <v>43667</v>
      </c>
      <c r="J6" s="5"/>
      <c r="K6" s="92"/>
      <c r="L6" s="17">
        <v>8</v>
      </c>
      <c r="M6" s="85" t="s">
        <v>138</v>
      </c>
      <c r="N6" s="86"/>
    </row>
    <row r="7" spans="1:14" ht="18" customHeight="1" x14ac:dyDescent="0.2">
      <c r="A7" s="4"/>
      <c r="B7" s="119"/>
      <c r="C7" s="63">
        <f>IF(DAY(JulDom1)=1,JulDom1+15,JulDom1+22)</f>
        <v>43668</v>
      </c>
      <c r="D7" s="63">
        <f>IF(DAY(JulDom1)=1,JulDom1+16,JulDom1+23)</f>
        <v>43669</v>
      </c>
      <c r="E7" s="63">
        <f>IF(DAY(JulDom1)=1,JulDom1+17,JulDom1+24)</f>
        <v>43670</v>
      </c>
      <c r="F7" s="63">
        <f>IF(DAY(JulDom1)=1,JulDom1+18,JulDom1+25)</f>
        <v>43671</v>
      </c>
      <c r="G7" s="63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>
        <v>15</v>
      </c>
      <c r="M7" s="85" t="s">
        <v>145</v>
      </c>
      <c r="N7" s="86"/>
    </row>
    <row r="8" spans="1:14" ht="18.75" customHeight="1" x14ac:dyDescent="0.2">
      <c r="A8" s="4"/>
      <c r="B8" s="119"/>
      <c r="C8" s="63">
        <f>IF(DAY(JulDom1)=1,JulDom1+22,JulDom1+29)</f>
        <v>43675</v>
      </c>
      <c r="D8" s="63">
        <f>IF(DAY(JulDom1)=1,JulDom1+23,JulDom1+30)</f>
        <v>43676</v>
      </c>
      <c r="E8" s="63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>
        <v>22</v>
      </c>
      <c r="M8" s="85" t="s">
        <v>149</v>
      </c>
      <c r="N8" s="86"/>
    </row>
    <row r="9" spans="1:14" ht="18" customHeight="1" x14ac:dyDescent="0.2">
      <c r="A9" s="4"/>
      <c r="B9" s="119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>
        <v>29</v>
      </c>
      <c r="M9" s="96" t="s">
        <v>153</v>
      </c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>
        <v>2</v>
      </c>
      <c r="M11" s="85" t="s">
        <v>133</v>
      </c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>
        <v>9</v>
      </c>
      <c r="M12" s="85" t="s">
        <v>139</v>
      </c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>
        <v>16</v>
      </c>
      <c r="M13" s="85" t="s">
        <v>146</v>
      </c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>
        <v>23</v>
      </c>
      <c r="M14" s="85" t="s">
        <v>150</v>
      </c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>
        <v>30</v>
      </c>
      <c r="M15" s="96" t="s">
        <v>153</v>
      </c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>
        <v>3</v>
      </c>
      <c r="M17" s="85" t="s">
        <v>134</v>
      </c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>
        <v>10</v>
      </c>
      <c r="M18" s="85" t="s">
        <v>140</v>
      </c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>
        <v>17</v>
      </c>
      <c r="M19" s="85" t="s">
        <v>143</v>
      </c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>
        <v>24</v>
      </c>
      <c r="M20" s="85" t="s">
        <v>151</v>
      </c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>
        <v>31</v>
      </c>
      <c r="M21" s="96" t="s">
        <v>153</v>
      </c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>
        <v>4</v>
      </c>
      <c r="M23" s="85" t="s">
        <v>135</v>
      </c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>
        <v>11</v>
      </c>
      <c r="M24" s="85" t="s">
        <v>141</v>
      </c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>
        <v>18</v>
      </c>
      <c r="M25" s="85" t="s">
        <v>147</v>
      </c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>
        <v>25</v>
      </c>
      <c r="M26" s="85" t="s">
        <v>152</v>
      </c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>
        <v>5</v>
      </c>
      <c r="M29" s="85" t="s">
        <v>136</v>
      </c>
      <c r="N29" s="86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>
        <v>12</v>
      </c>
      <c r="M30" s="85" t="s">
        <v>136</v>
      </c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45"/>
      <c r="L31" s="17">
        <v>19</v>
      </c>
      <c r="M31" s="46" t="s">
        <v>148</v>
      </c>
      <c r="N31" s="47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54"/>
      <c r="L32" s="17">
        <v>26</v>
      </c>
      <c r="M32" s="55" t="s">
        <v>136</v>
      </c>
      <c r="N32" s="56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91" t="s">
        <v>27</v>
      </c>
      <c r="L33" s="17"/>
      <c r="M33" s="85"/>
      <c r="N33" s="86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92"/>
      <c r="L34" s="17">
        <v>13</v>
      </c>
      <c r="M34" s="85" t="s">
        <v>142</v>
      </c>
      <c r="N34" s="86"/>
    </row>
    <row r="35" spans="2:14" ht="18" customHeight="1" x14ac:dyDescent="0.2">
      <c r="B35" s="48"/>
      <c r="C35" s="49"/>
      <c r="D35" s="49"/>
      <c r="E35" s="49"/>
      <c r="F35" s="49"/>
      <c r="G35" s="49"/>
      <c r="H35" s="49"/>
      <c r="I35" s="49"/>
      <c r="J35" s="50"/>
      <c r="K35" s="92"/>
      <c r="L35" s="51">
        <v>20</v>
      </c>
      <c r="M35" s="52" t="s">
        <v>144</v>
      </c>
      <c r="N35" s="53"/>
    </row>
    <row r="36" spans="2:14" ht="18" customHeight="1" x14ac:dyDescent="0.2">
      <c r="B36" s="7"/>
      <c r="C36" s="139"/>
      <c r="D36" s="140"/>
      <c r="E36" s="139"/>
      <c r="F36" s="140"/>
      <c r="G36" s="139"/>
      <c r="H36" s="140"/>
      <c r="I36" s="141"/>
      <c r="J36" s="142"/>
      <c r="K36" s="92"/>
      <c r="L36" s="20"/>
      <c r="M36" s="128"/>
      <c r="N36" s="129"/>
    </row>
    <row r="37" spans="2:14" ht="16.5" customHeight="1" x14ac:dyDescent="0.2">
      <c r="K37" s="91" t="s">
        <v>28</v>
      </c>
      <c r="L37" s="37">
        <v>7</v>
      </c>
      <c r="M37" s="1" t="s">
        <v>137</v>
      </c>
    </row>
    <row r="38" spans="2:14" ht="16.5" customHeight="1" x14ac:dyDescent="0.2">
      <c r="K38" s="92"/>
      <c r="L38" s="41">
        <v>14</v>
      </c>
      <c r="M38" s="1" t="s">
        <v>142</v>
      </c>
    </row>
    <row r="39" spans="2:14" ht="16.5" customHeight="1" x14ac:dyDescent="0.2">
      <c r="K39" s="92"/>
      <c r="L39" s="41"/>
    </row>
  </sheetData>
  <mergeCells count="113">
    <mergeCell ref="K37:K39"/>
    <mergeCell ref="C36:D36"/>
    <mergeCell ref="E36:F36"/>
    <mergeCell ref="G36:H36"/>
    <mergeCell ref="I36:J36"/>
    <mergeCell ref="M36:N36"/>
    <mergeCell ref="M33:N33"/>
    <mergeCell ref="M34:N34"/>
    <mergeCell ref="B30:J34"/>
    <mergeCell ref="M29:N29"/>
    <mergeCell ref="M30:N30"/>
    <mergeCell ref="K33:K36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6:J36">
    <cfRule type="expression" dxfId="26" priority="2">
      <formula>B14&lt;&gt;""</formula>
    </cfRule>
  </conditionalFormatting>
  <conditionalFormatting sqref="B30:B32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0"/>
  <sheetViews>
    <sheetView showGridLines="0" topLeftCell="A20" zoomScaleNormal="100" zoomScalePageLayoutView="84" workbookViewId="0">
      <selection activeCell="B30" sqref="B30:J3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53.1406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118" t="s">
        <v>19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93" t="s">
        <v>11</v>
      </c>
      <c r="L4" s="16">
        <v>5</v>
      </c>
      <c r="M4" s="94" t="s">
        <v>155</v>
      </c>
      <c r="N4" s="95"/>
    </row>
    <row r="5" spans="1:14" ht="18" customHeight="1" x14ac:dyDescent="0.2">
      <c r="A5" s="4"/>
      <c r="B5" s="119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92"/>
      <c r="L5" s="17">
        <v>12</v>
      </c>
      <c r="M5" s="85" t="s">
        <v>157</v>
      </c>
      <c r="N5" s="86"/>
    </row>
    <row r="6" spans="1:14" ht="18" customHeight="1" x14ac:dyDescent="0.2">
      <c r="A6" s="4"/>
      <c r="B6" s="119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92"/>
      <c r="L6" s="17">
        <v>19</v>
      </c>
      <c r="M6" s="85" t="s">
        <v>164</v>
      </c>
      <c r="N6" s="86"/>
    </row>
    <row r="7" spans="1:14" ht="18" customHeight="1" x14ac:dyDescent="0.2">
      <c r="A7" s="4" t="s">
        <v>175</v>
      </c>
      <c r="B7" s="119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>
        <v>26</v>
      </c>
      <c r="M7" s="85" t="s">
        <v>176</v>
      </c>
      <c r="N7" s="86"/>
    </row>
    <row r="8" spans="1:14" ht="18.75" customHeight="1" x14ac:dyDescent="0.2">
      <c r="A8" s="4"/>
      <c r="B8" s="119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85"/>
      <c r="N8" s="86"/>
    </row>
    <row r="9" spans="1:14" ht="18" customHeight="1" x14ac:dyDescent="0.2">
      <c r="A9" s="4"/>
      <c r="B9" s="119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>
        <v>6</v>
      </c>
      <c r="M10" s="98" t="s">
        <v>155</v>
      </c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>
        <v>13</v>
      </c>
      <c r="M11" s="85" t="s">
        <v>158</v>
      </c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>
        <v>20</v>
      </c>
      <c r="M12" s="85" t="s">
        <v>165</v>
      </c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>
        <v>27</v>
      </c>
      <c r="M13" s="85" t="s">
        <v>167</v>
      </c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/>
      <c r="M14" s="85"/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>
        <v>7</v>
      </c>
      <c r="M16" s="98" t="s">
        <v>156</v>
      </c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>
        <v>14</v>
      </c>
      <c r="M17" s="85" t="s">
        <v>159</v>
      </c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>
        <v>21</v>
      </c>
      <c r="M18" s="85" t="s">
        <v>171</v>
      </c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>
        <v>28</v>
      </c>
      <c r="M19" s="85" t="s">
        <v>166</v>
      </c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/>
      <c r="M20" s="85"/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>
        <v>1</v>
      </c>
      <c r="M23" s="85" t="s">
        <v>154</v>
      </c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>
        <v>8</v>
      </c>
      <c r="M24" s="85" t="s">
        <v>154</v>
      </c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>
        <v>15</v>
      </c>
      <c r="M25" s="85" t="s">
        <v>160</v>
      </c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>
        <v>22</v>
      </c>
      <c r="M26" s="85" t="s">
        <v>168</v>
      </c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>
        <v>29</v>
      </c>
      <c r="M27" s="96" t="s">
        <v>169</v>
      </c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>
        <v>2</v>
      </c>
      <c r="M29" s="85" t="s">
        <v>155</v>
      </c>
      <c r="N29" s="86"/>
    </row>
    <row r="30" spans="2:14" ht="18" customHeight="1" x14ac:dyDescent="0.2">
      <c r="B30" s="112" t="s">
        <v>163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>
        <v>9</v>
      </c>
      <c r="M30" s="85" t="s">
        <v>155</v>
      </c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54"/>
      <c r="L31" s="17">
        <v>16</v>
      </c>
      <c r="M31" s="55" t="s">
        <v>161</v>
      </c>
      <c r="N31" s="56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54"/>
      <c r="L32" s="17">
        <v>23</v>
      </c>
      <c r="M32" s="55" t="s">
        <v>170</v>
      </c>
      <c r="N32" s="56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54"/>
      <c r="L33" s="17">
        <v>30</v>
      </c>
      <c r="M33" s="55" t="s">
        <v>172</v>
      </c>
      <c r="N33" s="56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54"/>
      <c r="L34" s="17"/>
      <c r="M34" s="55"/>
      <c r="N34" s="56"/>
    </row>
    <row r="35" spans="2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91" t="s">
        <v>27</v>
      </c>
      <c r="L35" s="17">
        <v>17</v>
      </c>
      <c r="M35" s="85" t="s">
        <v>162</v>
      </c>
      <c r="N35" s="86"/>
    </row>
    <row r="36" spans="2:14" ht="18" customHeight="1" x14ac:dyDescent="0.2">
      <c r="B36" s="115"/>
      <c r="C36" s="116"/>
      <c r="D36" s="116"/>
      <c r="E36" s="116"/>
      <c r="F36" s="116"/>
      <c r="G36" s="116"/>
      <c r="H36" s="116"/>
      <c r="I36" s="116"/>
      <c r="J36" s="117"/>
      <c r="K36" s="92"/>
      <c r="L36" s="17">
        <v>24</v>
      </c>
      <c r="M36" s="85" t="s">
        <v>173</v>
      </c>
      <c r="N36" s="86"/>
    </row>
    <row r="37" spans="2:14" ht="18" customHeight="1" x14ac:dyDescent="0.2">
      <c r="B37" s="7"/>
      <c r="C37" s="139"/>
      <c r="D37" s="140"/>
      <c r="E37" s="139"/>
      <c r="F37" s="140"/>
      <c r="G37" s="139"/>
      <c r="H37" s="140"/>
      <c r="I37" s="141"/>
      <c r="J37" s="142"/>
      <c r="K37" s="92"/>
      <c r="L37" s="20"/>
      <c r="M37" s="128"/>
      <c r="N37" s="129"/>
    </row>
    <row r="38" spans="2:14" ht="16.5" customHeight="1" x14ac:dyDescent="0.2">
      <c r="K38" s="91" t="s">
        <v>28</v>
      </c>
      <c r="L38">
        <v>25</v>
      </c>
      <c r="M38" s="1" t="s">
        <v>174</v>
      </c>
    </row>
    <row r="39" spans="2:14" ht="16.5" customHeight="1" x14ac:dyDescent="0.2">
      <c r="K39" s="92"/>
    </row>
    <row r="40" spans="2:14" ht="16.5" customHeight="1" x14ac:dyDescent="0.2">
      <c r="K40" s="92"/>
    </row>
  </sheetData>
  <mergeCells count="113">
    <mergeCell ref="K38:K40"/>
    <mergeCell ref="C37:D37"/>
    <mergeCell ref="E37:F37"/>
    <mergeCell ref="G37:H37"/>
    <mergeCell ref="I37:J37"/>
    <mergeCell ref="M37:N37"/>
    <mergeCell ref="M35:N35"/>
    <mergeCell ref="M36:N36"/>
    <mergeCell ref="B30:J36"/>
    <mergeCell ref="M29:N29"/>
    <mergeCell ref="M30:N30"/>
    <mergeCell ref="K35:K3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7:J37">
    <cfRule type="expression" dxfId="21" priority="2">
      <formula>B14&lt;&gt;""</formula>
    </cfRule>
  </conditionalFormatting>
  <conditionalFormatting sqref="B30:B34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1"/>
  <sheetViews>
    <sheetView showGridLines="0" tabSelected="1" topLeftCell="A3" zoomScaleNormal="100" zoomScalePageLayoutView="84" workbookViewId="0">
      <selection activeCell="B32" sqref="B32:J3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3.285156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18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92"/>
      <c r="L5" s="17">
        <v>2</v>
      </c>
      <c r="M5" s="85" t="s">
        <v>177</v>
      </c>
      <c r="N5" s="86"/>
    </row>
    <row r="6" spans="1:14" ht="18" customHeight="1" x14ac:dyDescent="0.2">
      <c r="A6" s="4"/>
      <c r="B6" s="119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92"/>
      <c r="L6" s="17">
        <v>9</v>
      </c>
      <c r="M6" s="85" t="s">
        <v>183</v>
      </c>
      <c r="N6" s="86"/>
    </row>
    <row r="7" spans="1:14" ht="18" customHeight="1" x14ac:dyDescent="0.2">
      <c r="A7" s="4"/>
      <c r="B7" s="119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>
        <v>16</v>
      </c>
      <c r="M7" s="85" t="s">
        <v>188</v>
      </c>
      <c r="N7" s="86"/>
    </row>
    <row r="8" spans="1:14" ht="18.75" customHeight="1" x14ac:dyDescent="0.2">
      <c r="A8" s="4"/>
      <c r="B8" s="119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>
        <v>23</v>
      </c>
      <c r="M8" s="85" t="s">
        <v>189</v>
      </c>
      <c r="N8" s="86"/>
    </row>
    <row r="9" spans="1:14" ht="18" customHeight="1" x14ac:dyDescent="0.2">
      <c r="A9" s="4"/>
      <c r="B9" s="119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>
        <v>30</v>
      </c>
      <c r="M9" s="96" t="s">
        <v>195</v>
      </c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>
        <v>3</v>
      </c>
      <c r="M11" s="85" t="s">
        <v>178</v>
      </c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>
        <v>10</v>
      </c>
      <c r="M12" s="85" t="s">
        <v>183</v>
      </c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>
        <v>24</v>
      </c>
      <c r="M13" s="85" t="s">
        <v>190</v>
      </c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/>
      <c r="M14" s="85"/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>
        <v>4</v>
      </c>
      <c r="M17" s="85" t="s">
        <v>179</v>
      </c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>
        <v>11</v>
      </c>
      <c r="M18" s="85" t="s">
        <v>184</v>
      </c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>
        <v>25</v>
      </c>
      <c r="M19" s="85" t="s">
        <v>191</v>
      </c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/>
      <c r="M20" s="85"/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>
        <v>5</v>
      </c>
      <c r="M23" s="85" t="s">
        <v>180</v>
      </c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>
        <v>12</v>
      </c>
      <c r="M24" s="85" t="s">
        <v>185</v>
      </c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>
        <v>26</v>
      </c>
      <c r="M25" s="85" t="s">
        <v>192</v>
      </c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/>
      <c r="M26" s="85"/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>
        <v>6</v>
      </c>
      <c r="M29" s="85" t="s">
        <v>181</v>
      </c>
      <c r="N29" s="86"/>
    </row>
    <row r="30" spans="2:14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92"/>
      <c r="L30" s="17">
        <v>13</v>
      </c>
      <c r="M30" s="58" t="s">
        <v>186</v>
      </c>
      <c r="N30" s="59"/>
    </row>
    <row r="31" spans="2:14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92"/>
      <c r="L31" s="17">
        <v>27</v>
      </c>
      <c r="M31" s="58" t="s">
        <v>193</v>
      </c>
      <c r="N31" s="59"/>
    </row>
    <row r="32" spans="2:14" ht="18" customHeight="1" x14ac:dyDescent="0.2">
      <c r="B32" s="112" t="s">
        <v>163</v>
      </c>
      <c r="C32" s="113"/>
      <c r="D32" s="113"/>
      <c r="E32" s="113"/>
      <c r="F32" s="113"/>
      <c r="G32" s="113"/>
      <c r="H32" s="113"/>
      <c r="I32" s="113"/>
      <c r="J32" s="114"/>
      <c r="K32" s="92"/>
      <c r="L32" s="17"/>
      <c r="M32" s="85"/>
      <c r="N32" s="86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57"/>
      <c r="L33" s="17"/>
      <c r="M33" s="58"/>
      <c r="N33" s="59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91" t="s">
        <v>27</v>
      </c>
      <c r="L34" s="17"/>
      <c r="M34" s="85"/>
      <c r="N34" s="86"/>
    </row>
    <row r="35" spans="2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92"/>
      <c r="L35" s="17">
        <v>7</v>
      </c>
      <c r="M35" s="58" t="s">
        <v>181</v>
      </c>
      <c r="N35" s="59"/>
    </row>
    <row r="36" spans="2:14" ht="18" customHeight="1" x14ac:dyDescent="0.2">
      <c r="B36" s="115"/>
      <c r="C36" s="116"/>
      <c r="D36" s="116"/>
      <c r="E36" s="116"/>
      <c r="F36" s="116"/>
      <c r="G36" s="116"/>
      <c r="H36" s="116"/>
      <c r="I36" s="116"/>
      <c r="J36" s="117"/>
      <c r="K36" s="92"/>
      <c r="L36" s="17">
        <v>14</v>
      </c>
      <c r="M36" s="85" t="s">
        <v>187</v>
      </c>
      <c r="N36" s="86"/>
    </row>
    <row r="37" spans="2:14" ht="18" customHeight="1" x14ac:dyDescent="0.2">
      <c r="B37" s="60"/>
      <c r="C37" s="61"/>
      <c r="D37" s="61"/>
      <c r="E37" s="61"/>
      <c r="F37" s="61"/>
      <c r="G37" s="61"/>
      <c r="H37" s="61"/>
      <c r="I37" s="61"/>
      <c r="J37" s="62"/>
      <c r="K37" s="92"/>
      <c r="L37" s="51">
        <v>28</v>
      </c>
      <c r="M37" s="52" t="s">
        <v>194</v>
      </c>
      <c r="N37" s="53"/>
    </row>
    <row r="38" spans="2:14" ht="18" customHeight="1" x14ac:dyDescent="0.2">
      <c r="B38" s="7"/>
      <c r="C38" s="139"/>
      <c r="D38" s="140"/>
      <c r="E38" s="139"/>
      <c r="F38" s="140"/>
      <c r="G38" s="139"/>
      <c r="H38" s="140"/>
      <c r="I38" s="141"/>
      <c r="J38" s="142"/>
      <c r="K38" s="92"/>
      <c r="L38" s="20"/>
      <c r="M38" s="128"/>
      <c r="N38" s="129"/>
    </row>
    <row r="39" spans="2:14" ht="16.5" customHeight="1" x14ac:dyDescent="0.2">
      <c r="K39" s="91" t="s">
        <v>28</v>
      </c>
      <c r="L39" s="37">
        <v>8</v>
      </c>
      <c r="M39" s="1" t="s">
        <v>182</v>
      </c>
    </row>
    <row r="40" spans="2:14" ht="16.5" customHeight="1" x14ac:dyDescent="0.2">
      <c r="K40" s="92"/>
    </row>
    <row r="41" spans="2:14" ht="16.5" customHeight="1" x14ac:dyDescent="0.2">
      <c r="K41" s="92"/>
    </row>
  </sheetData>
  <mergeCells count="113">
    <mergeCell ref="K39:K41"/>
    <mergeCell ref="C38:D38"/>
    <mergeCell ref="E38:F38"/>
    <mergeCell ref="G38:H38"/>
    <mergeCell ref="I38:J38"/>
    <mergeCell ref="M38:N38"/>
    <mergeCell ref="M34:N34"/>
    <mergeCell ref="M36:N36"/>
    <mergeCell ref="B32:J36"/>
    <mergeCell ref="M29:N29"/>
    <mergeCell ref="M32:N32"/>
    <mergeCell ref="K34:K38"/>
    <mergeCell ref="C28:D28"/>
    <mergeCell ref="E28:F28"/>
    <mergeCell ref="G28:H28"/>
    <mergeCell ref="I28:J28"/>
    <mergeCell ref="K28:K32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31 B38:J38">
    <cfRule type="expression" dxfId="16" priority="2">
      <formula>B14&lt;&gt;""</formula>
    </cfRule>
  </conditionalFormatting>
  <conditionalFormatting sqref="B32:B33">
    <cfRule type="expression" dxfId="15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2010-12-16T21:23:33Z</cp:lastPrinted>
  <dcterms:created xsi:type="dcterms:W3CDTF">2015-11-13T18:10:35Z</dcterms:created>
  <dcterms:modified xsi:type="dcterms:W3CDTF">2019-12-02T18:32:25Z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