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autoCompressPictures="0"/>
  <bookViews>
    <workbookView xWindow="0" yWindow="120" windowWidth="15480" windowHeight="11640" tabRatio="690" firstSheet="3" activeTab="9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  <sheet name="Hoja1" sheetId="17" r:id="rId13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Agosto!$A$1:$N$50</definedName>
    <definedName name="_xlnm.Print_Area" localSheetId="11">Diciembre!$A$1:$M$50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1">Diciembre!$L$4:$L$33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6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5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4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3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2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1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10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9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7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9" i="6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H4" i="1" l="1"/>
  <c r="I9" l="1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G4"/>
  <c r="F4"/>
  <c r="E4"/>
  <c r="D4"/>
  <c r="C4"/>
</calcChain>
</file>

<file path=xl/sharedStrings.xml><?xml version="1.0" encoding="utf-8"?>
<sst xmlns="http://schemas.openxmlformats.org/spreadsheetml/2006/main" count="297" uniqueCount="38">
  <si>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</si>
  <si>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</si>
  <si>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</si>
  <si>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</si>
  <si>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</si>
  <si>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</si>
  <si>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</si>
  <si>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</si>
  <si>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</si>
  <si>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</si>
  <si>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</si>
  <si>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</si>
  <si>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</si>
  <si>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</si>
  <si>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</si>
  <si>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</si>
  <si>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</si>
  <si>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</si>
  <si>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</si>
  <si>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</si>
  <si>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</si>
  <si>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</si>
  <si>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</si>
  <si>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</si>
  <si>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</si>
  <si>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</si>
  <si>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SAB</t>
  </si>
  <si>
    <t>Nota:  las actividades frecuentes de la unidad de Catastro son: recepcion de operaciones registrales y de transmisión de dominio, copias de planos y/o manzanero, dictamenes de valor, historias catastrales,  certificacion de documentos, consultas al padron catastral y contestar oficios que se presentan en catastro.</t>
  </si>
  <si>
    <t>SE REALIZO CURSO DE CAPACITACION DEL POGRAMA DE GESTION CATASTRAL PARA LA IMPLEMENTACION DE AVALUOS TECNICOS PARA EL COBRO DEL PREDIAL, IMPARTIDO POR PERSONAL DE CATSTRO DEL ESTADO.</t>
  </si>
  <si>
    <t>SE REALZO INSPECCION FISICA DE PROPIEDAD PARA SU EVALUCION</t>
  </si>
  <si>
    <r>
      <t xml:space="preserve"> </t>
    </r>
    <r>
      <rPr>
        <sz val="6"/>
        <color theme="1" tint="0.249977111117893"/>
        <rFont val="Arial"/>
        <family val="2"/>
        <scheme val="minor"/>
      </rPr>
      <t xml:space="preserve">SE IMPLEMENTO EL PROGRAMA "QGIS"  PARA  LA ACTULIZACION  Y  PARA UTILIZARLOS EN LA FUTURAS TABLAS DE VALORES, ASI COMO  SE ESTA DIGITALIZANDO EN ARCHIVOS "SHP" </t>
    </r>
    <r>
      <rPr>
        <sz val="10"/>
        <color theme="1" tint="0.249977111117893"/>
        <rFont val="Arial"/>
        <family val="2"/>
        <scheme val="minor"/>
      </rPr>
      <t xml:space="preserve"> </t>
    </r>
  </si>
  <si>
    <t>VISITA AL CONGRESO DEL ESTADO A ENTREGAR PROYECTO DE TABALAS DE VALORES PARA EL 2020</t>
  </si>
  <si>
    <t>ACTUALIZACION DE AVALUOS EN BASE A TABLAS DE VALORES PARA EJERCIICIO 2020</t>
  </si>
  <si>
    <t>ASISITMOS A LAS OFICINAS DE CATASTRO DEL ESTADO AL CURSO TALLER VALUACION CATASTRAL DIRECTOR Y AUXILIARES.</t>
  </si>
  <si>
    <t>ACTUALIZACION DE AVALUOS EN BASE A TABLAS DE VALORES PARA EJERCIICIO 2020 , SE DIGITALIZO LIBROS PARA LA ACTUALIZACION DE CATASATRO</t>
  </si>
  <si>
    <t>SE REALIZO  VISITA A LAS OFICINAS DE CATASTRO DEL ESTADO A REALZAR GESTION DE VALUASIÓN MASIVA</t>
  </si>
  <si>
    <t>SE REALIZO VISITA AL REGISTRO AGRARIO NACIONAL PARA SOLICITAR INFORMACION PARA LA ACTUALIZACION DEL CATASTRO MUNICIPAL</t>
  </si>
  <si>
    <t>ASISTIMOS AL CURSO DE ACTUALIZACION DE AVALUOS EN EL SISTEMA DE GESTION CATASTRAL MISMO QUE SE LLEVO ACABO EN AYUTLA, JALISCO Y FUE IMPARTIDO POR PERSONAL DE CATASTRO DEL ESTADO</t>
  </si>
</sst>
</file>

<file path=xl/styles.xml><?xml version="1.0" encoding="utf-8"?>
<styleSheet xmlns="http://schemas.openxmlformats.org/spreadsheetml/2006/main">
  <numFmts count="1">
    <numFmt numFmtId="164" formatCode="d"/>
  </numFmts>
  <fonts count="27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sz val="6"/>
      <color theme="1" tint="0.249977111117893"/>
      <name val="Arial"/>
      <family val="2"/>
      <scheme val="minor"/>
    </font>
    <font>
      <b/>
      <sz val="10.5"/>
      <color theme="1" tint="0.249977111117893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</fills>
  <borders count="50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4" tint="0.79995117038483843"/>
      </right>
      <top style="thin">
        <color theme="5"/>
      </top>
      <bottom/>
      <diagonal/>
    </border>
    <border>
      <left/>
      <right style="thin">
        <color theme="4" tint="0.79995117038483843"/>
      </right>
      <top/>
      <bottom style="thin">
        <color theme="5"/>
      </bottom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12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3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164" fontId="20" fillId="7" borderId="0" xfId="0" applyNumberFormat="1" applyFont="1" applyFill="1" applyBorder="1" applyAlignment="1">
      <alignment horizontal="center" vertical="center" wrapText="1"/>
    </xf>
    <xf numFmtId="164" fontId="20" fillId="6" borderId="0" xfId="0" applyNumberFormat="1" applyFont="1" applyFill="1" applyBorder="1" applyAlignment="1">
      <alignment horizontal="center" vertical="center" wrapText="1"/>
    </xf>
    <xf numFmtId="164" fontId="26" fillId="6" borderId="0" xfId="0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15" fillId="5" borderId="27" xfId="0" applyFont="1" applyFill="1" applyBorder="1" applyAlignment="1">
      <alignment horizontal="left" vertical="top" indent="1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  <xf numFmtId="0" fontId="14" fillId="5" borderId="45" xfId="0" applyNumberFormat="1" applyFont="1" applyFill="1" applyBorder="1" applyAlignment="1">
      <alignment horizontal="left" vertical="top" wrapText="1"/>
    </xf>
    <xf numFmtId="0" fontId="23" fillId="5" borderId="46" xfId="0" applyNumberFormat="1" applyFont="1" applyFill="1" applyBorder="1" applyAlignment="1">
      <alignment horizontal="left" vertical="top" wrapText="1"/>
    </xf>
    <xf numFmtId="0" fontId="23" fillId="5" borderId="28" xfId="0" applyNumberFormat="1" applyFont="1" applyFill="1" applyBorder="1" applyAlignment="1">
      <alignment horizontal="left" vertical="top" wrapText="1"/>
    </xf>
    <xf numFmtId="0" fontId="23" fillId="5" borderId="7" xfId="0" applyNumberFormat="1" applyFont="1" applyFill="1" applyBorder="1" applyAlignment="1">
      <alignment horizontal="left" vertical="top" wrapText="1"/>
    </xf>
    <xf numFmtId="0" fontId="23" fillId="5" borderId="0" xfId="0" applyNumberFormat="1" applyFont="1" applyFill="1" applyBorder="1" applyAlignment="1">
      <alignment horizontal="left" vertical="top" wrapText="1"/>
    </xf>
    <xf numFmtId="0" fontId="23" fillId="5" borderId="16" xfId="0" applyNumberFormat="1" applyFont="1" applyFill="1" applyBorder="1" applyAlignment="1">
      <alignment horizontal="left" vertical="top" wrapText="1"/>
    </xf>
    <xf numFmtId="0" fontId="25" fillId="0" borderId="3" xfId="0" applyFont="1" applyBorder="1" applyAlignment="1">
      <alignment horizontal="left"/>
    </xf>
    <xf numFmtId="0" fontId="25" fillId="0" borderId="18" xfId="0" applyFont="1" applyBorder="1" applyAlignment="1">
      <alignment horizontal="left"/>
    </xf>
    <xf numFmtId="0" fontId="25" fillId="0" borderId="47" xfId="0" applyFont="1" applyBorder="1" applyAlignment="1">
      <alignment horizontal="left" vertical="center" wrapText="1"/>
    </xf>
    <xf numFmtId="0" fontId="25" fillId="0" borderId="48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left" vertical="center" wrapText="1"/>
    </xf>
    <xf numFmtId="0" fontId="25" fillId="0" borderId="49" xfId="0" applyFont="1" applyBorder="1" applyAlignment="1">
      <alignment horizontal="left" vertical="center" wrapText="1"/>
    </xf>
    <xf numFmtId="0" fontId="10" fillId="0" borderId="4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25" fillId="0" borderId="17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25" fillId="0" borderId="3" xfId="0" applyFont="1" applyBorder="1" applyAlignment="1">
      <alignment horizontal="left" wrapText="1"/>
    </xf>
    <xf numFmtId="0" fontId="25" fillId="0" borderId="18" xfId="0" applyFont="1" applyBorder="1" applyAlignment="1">
      <alignment horizontal="left" wrapTex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75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74"/>
      <tableStyleElement type="headerRow" dxfId="73"/>
      <tableStyleElement type="totalRow" dxfId="72"/>
      <tableStyleElement type="firstColumn" dxfId="71"/>
      <tableStyleElement type="lastColumn" dxfId="70"/>
      <tableStyleElement type="firstRowStripe" dxfId="69"/>
      <tableStyleElement type="firstColumnStripe" dxfId="68"/>
    </tableStyle>
    <tableStyle name="TableStyleLight9 2" pivot="0" count="4">
      <tableStyleElement type="wholeTable" dxfId="67"/>
      <tableStyleElement type="headerRow" dxfId="66"/>
      <tableStyleElement type="totalRow" dxfId="65"/>
      <tableStyleElement type="firstColumn" dxfId="64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B16" zoomScaleNormal="100" zoomScalePageLayoutView="84" workbookViewId="0">
      <selection activeCell="J34" sqref="J34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38" t="s">
        <v>3</v>
      </c>
      <c r="C2" s="21"/>
      <c r="D2" s="21"/>
      <c r="E2" s="21"/>
      <c r="F2" s="21"/>
      <c r="G2" s="21"/>
      <c r="H2" s="21"/>
      <c r="I2" s="21"/>
      <c r="J2" s="22"/>
      <c r="K2" s="76" t="s">
        <v>2</v>
      </c>
      <c r="L2" s="77">
        <v>2013</v>
      </c>
      <c r="M2" s="77"/>
      <c r="N2" s="83">
        <v>2019</v>
      </c>
    </row>
    <row r="3" spans="1:14" ht="21" customHeight="1">
      <c r="A3" s="4"/>
      <c r="B3" s="3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8"/>
      <c r="L3" s="79"/>
      <c r="M3" s="79"/>
      <c r="N3" s="84"/>
    </row>
    <row r="4" spans="1:14" ht="18" customHeight="1">
      <c r="A4" s="4"/>
      <c r="B4" s="39"/>
      <c r="C4" s="10">
        <f>IF(DAY(JanSun1)=1,JanSun1-6,JanSun1+1)</f>
        <v>43465</v>
      </c>
      <c r="D4" s="10">
        <f>IF(DAY(JanSun1)=1,JanSun1-5,JanSun1+2)</f>
        <v>43466</v>
      </c>
      <c r="E4" s="10">
        <f>IF(DAY(JanSun1)=1,JanSun1-4,JanSun1+3)</f>
        <v>43467</v>
      </c>
      <c r="F4" s="10">
        <f>IF(DAY(JanSun1)=1,JanSun1-3,JanSun1+4)</f>
        <v>43468</v>
      </c>
      <c r="G4" s="10">
        <f>IF(DAY(JanSun1)=1,JanSun1-2,JanSun1+5)</f>
        <v>43469</v>
      </c>
      <c r="H4" s="10">
        <f>IF(DAY(JanSun1)=1,JanSun1-1,JanSun1+6)</f>
        <v>43470</v>
      </c>
      <c r="I4" s="10">
        <f>IF(DAY(JanSun1)=1,JanSun1,JanSun1+7)</f>
        <v>43471</v>
      </c>
      <c r="J4" s="5"/>
      <c r="K4" s="80" t="s">
        <v>11</v>
      </c>
      <c r="L4" s="16"/>
      <c r="M4" s="81"/>
      <c r="N4" s="82"/>
    </row>
    <row r="5" spans="1:14" ht="18" customHeight="1">
      <c r="A5" s="4"/>
      <c r="B5" s="39"/>
      <c r="C5" s="10">
        <f>IF(DAY(JanSun1)=1,JanSun1+1,JanSun1+8)</f>
        <v>43472</v>
      </c>
      <c r="D5" s="10">
        <f>IF(DAY(JanSun1)=1,JanSun1+2,JanSun1+9)</f>
        <v>43473</v>
      </c>
      <c r="E5" s="10">
        <f>IF(DAY(JanSun1)=1,JanSun1+3,JanSun1+10)</f>
        <v>43474</v>
      </c>
      <c r="F5" s="10">
        <f>IF(DAY(JanSun1)=1,JanSun1+4,JanSun1+11)</f>
        <v>43475</v>
      </c>
      <c r="G5" s="10">
        <f>IF(DAY(JanSun1)=1,JanSun1+5,JanSun1+12)</f>
        <v>43476</v>
      </c>
      <c r="H5" s="10">
        <f>IF(DAY(JanSun1)=1,JanSun1+6,JanSun1+13)</f>
        <v>43477</v>
      </c>
      <c r="I5" s="10">
        <f>IF(DAY(JanSun1)=1,JanSun1+7,JanSun1+14)</f>
        <v>43478</v>
      </c>
      <c r="J5" s="5"/>
      <c r="K5" s="69"/>
      <c r="L5" s="17"/>
      <c r="M5" s="36"/>
      <c r="N5" s="37"/>
    </row>
    <row r="6" spans="1:14" ht="18" customHeight="1">
      <c r="A6" s="4"/>
      <c r="B6" s="39"/>
      <c r="C6" s="10">
        <f>IF(DAY(JanSun1)=1,JanSun1+8,JanSun1+15)</f>
        <v>43479</v>
      </c>
      <c r="D6" s="10">
        <f>IF(DAY(JanSun1)=1,JanSun1+9,JanSun1+16)</f>
        <v>43480</v>
      </c>
      <c r="E6" s="10">
        <f>IF(DAY(JanSun1)=1,JanSun1+10,JanSun1+17)</f>
        <v>43481</v>
      </c>
      <c r="F6" s="10">
        <f>IF(DAY(JanSun1)=1,JanSun1+11,JanSun1+18)</f>
        <v>43482</v>
      </c>
      <c r="G6" s="10">
        <f>IF(DAY(JanSun1)=1,JanSun1+12,JanSun1+19)</f>
        <v>43483</v>
      </c>
      <c r="H6" s="10">
        <f>IF(DAY(JanSun1)=1,JanSun1+13,JanSun1+20)</f>
        <v>43484</v>
      </c>
      <c r="I6" s="10">
        <f>IF(DAY(JanSun1)=1,JanSun1+14,JanSun1+21)</f>
        <v>43485</v>
      </c>
      <c r="J6" s="5"/>
      <c r="K6" s="69"/>
      <c r="L6" s="17"/>
      <c r="M6" s="36"/>
      <c r="N6" s="37"/>
    </row>
    <row r="7" spans="1:14" ht="18" customHeight="1">
      <c r="A7" s="4"/>
      <c r="B7" s="39"/>
      <c r="C7" s="10">
        <f>IF(DAY(JanSun1)=1,JanSun1+15,JanSun1+22)</f>
        <v>43486</v>
      </c>
      <c r="D7" s="10">
        <f>IF(DAY(JanSun1)=1,JanSun1+16,JanSun1+23)</f>
        <v>43487</v>
      </c>
      <c r="E7" s="10">
        <f>IF(DAY(JanSun1)=1,JanSun1+17,JanSun1+24)</f>
        <v>43488</v>
      </c>
      <c r="F7" s="10">
        <f>IF(DAY(JanSun1)=1,JanSun1+18,JanSun1+25)</f>
        <v>43489</v>
      </c>
      <c r="G7" s="10">
        <f>IF(DAY(JanSun1)=1,JanSun1+19,JanSun1+26)</f>
        <v>43490</v>
      </c>
      <c r="H7" s="10">
        <f>IF(DAY(JanSun1)=1,JanSun1+20,JanSun1+27)</f>
        <v>43491</v>
      </c>
      <c r="I7" s="10">
        <f>IF(DAY(JanSun1)=1,JanSun1+21,JanSun1+28)</f>
        <v>43492</v>
      </c>
      <c r="J7" s="5"/>
      <c r="K7" s="11"/>
      <c r="L7" s="17"/>
      <c r="M7" s="36"/>
      <c r="N7" s="37"/>
    </row>
    <row r="8" spans="1:14" ht="18.75" customHeight="1">
      <c r="A8" s="4"/>
      <c r="B8" s="39"/>
      <c r="C8" s="10">
        <f>IF(DAY(JanSun1)=1,JanSun1+22,JanSun1+29)</f>
        <v>43493</v>
      </c>
      <c r="D8" s="10">
        <f>IF(DAY(JanSun1)=1,JanSun1+23,JanSun1+30)</f>
        <v>43494</v>
      </c>
      <c r="E8" s="10">
        <f>IF(DAY(JanSun1)=1,JanSun1+24,JanSun1+31)</f>
        <v>43495</v>
      </c>
      <c r="F8" s="10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/>
      <c r="M8" s="36"/>
      <c r="N8" s="37"/>
    </row>
    <row r="9" spans="1:14" ht="18" customHeight="1">
      <c r="A9" s="4"/>
      <c r="B9" s="39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32"/>
      <c r="N9" s="33"/>
    </row>
    <row r="10" spans="1:14" ht="18" customHeight="1">
      <c r="A10" s="4"/>
      <c r="B10" s="40"/>
      <c r="C10" s="23"/>
      <c r="D10" s="23"/>
      <c r="E10" s="23"/>
      <c r="F10" s="23"/>
      <c r="G10" s="23"/>
      <c r="H10" s="23"/>
      <c r="I10" s="23"/>
      <c r="J10" s="24"/>
      <c r="K10" s="68" t="s">
        <v>12</v>
      </c>
      <c r="L10" s="16"/>
      <c r="M10" s="34"/>
      <c r="N10" s="35"/>
    </row>
    <row r="11" spans="1:14" ht="18" customHeight="1">
      <c r="A11" s="4"/>
      <c r="B11" s="41" t="s">
        <v>10</v>
      </c>
      <c r="C11" s="42"/>
      <c r="D11" s="42"/>
      <c r="E11" s="42"/>
      <c r="F11" s="42"/>
      <c r="G11" s="42"/>
      <c r="H11" s="42"/>
      <c r="I11" s="42"/>
      <c r="J11" s="43"/>
      <c r="K11" s="69"/>
      <c r="L11" s="17"/>
      <c r="M11" s="36"/>
      <c r="N11" s="37"/>
    </row>
    <row r="12" spans="1:14" ht="18" customHeight="1">
      <c r="A12" s="4"/>
      <c r="B12" s="41"/>
      <c r="C12" s="42"/>
      <c r="D12" s="42"/>
      <c r="E12" s="42"/>
      <c r="F12" s="42"/>
      <c r="G12" s="42"/>
      <c r="H12" s="42"/>
      <c r="I12" s="42"/>
      <c r="J12" s="43"/>
      <c r="K12" s="69"/>
      <c r="L12" s="17"/>
      <c r="M12" s="36"/>
      <c r="N12" s="37"/>
    </row>
    <row r="13" spans="1:14" ht="18" customHeight="1">
      <c r="B13" s="3" t="s">
        <v>11</v>
      </c>
      <c r="C13" s="70" t="s">
        <v>12</v>
      </c>
      <c r="D13" s="72"/>
      <c r="E13" s="70" t="s">
        <v>13</v>
      </c>
      <c r="F13" s="72"/>
      <c r="G13" s="70" t="s">
        <v>14</v>
      </c>
      <c r="H13" s="72"/>
      <c r="I13" s="70" t="s">
        <v>15</v>
      </c>
      <c r="J13" s="71"/>
      <c r="K13" s="11"/>
      <c r="L13" s="17"/>
      <c r="M13" s="36"/>
      <c r="N13" s="37"/>
    </row>
    <row r="14" spans="1:14" ht="18" customHeight="1">
      <c r="B14" s="8"/>
      <c r="C14" s="44"/>
      <c r="D14" s="48"/>
      <c r="E14" s="44"/>
      <c r="F14" s="48"/>
      <c r="G14" s="44"/>
      <c r="H14" s="48"/>
      <c r="I14" s="44"/>
      <c r="J14" s="45"/>
      <c r="K14" s="11"/>
      <c r="L14" s="17"/>
      <c r="M14" s="36"/>
      <c r="N14" s="37"/>
    </row>
    <row r="15" spans="1:14" ht="18" customHeight="1">
      <c r="B15" s="6"/>
      <c r="C15" s="49"/>
      <c r="D15" s="50"/>
      <c r="E15" s="49"/>
      <c r="F15" s="50"/>
      <c r="G15" s="49"/>
      <c r="H15" s="50"/>
      <c r="I15" s="51"/>
      <c r="J15" s="52"/>
      <c r="K15" s="13"/>
      <c r="L15" s="19"/>
      <c r="M15" s="32"/>
      <c r="N15" s="33"/>
    </row>
    <row r="16" spans="1:14" ht="18" customHeight="1">
      <c r="B16" s="8"/>
      <c r="C16" s="44"/>
      <c r="D16" s="48"/>
      <c r="E16" s="44"/>
      <c r="F16" s="48"/>
      <c r="G16" s="44"/>
      <c r="H16" s="48"/>
      <c r="I16" s="53"/>
      <c r="J16" s="54"/>
      <c r="K16" s="85" t="s">
        <v>13</v>
      </c>
      <c r="L16" s="16"/>
      <c r="M16" s="34"/>
      <c r="N16" s="35"/>
    </row>
    <row r="17" spans="2:14" ht="18" customHeight="1">
      <c r="B17" s="6"/>
      <c r="C17" s="49"/>
      <c r="D17" s="50"/>
      <c r="E17" s="49"/>
      <c r="F17" s="50"/>
      <c r="G17" s="49"/>
      <c r="H17" s="50"/>
      <c r="I17" s="51"/>
      <c r="J17" s="52"/>
      <c r="K17" s="86"/>
      <c r="L17" s="17"/>
      <c r="M17" s="36"/>
      <c r="N17" s="37"/>
    </row>
    <row r="18" spans="2:14" ht="18" customHeight="1">
      <c r="B18" s="9"/>
      <c r="C18" s="55"/>
      <c r="D18" s="56"/>
      <c r="E18" s="55"/>
      <c r="F18" s="56"/>
      <c r="G18" s="55"/>
      <c r="H18" s="56"/>
      <c r="I18" s="55"/>
      <c r="J18" s="73"/>
      <c r="K18" s="86"/>
      <c r="L18" s="17"/>
      <c r="M18" s="36"/>
      <c r="N18" s="37"/>
    </row>
    <row r="19" spans="2:14" ht="18" customHeight="1">
      <c r="B19" s="6"/>
      <c r="C19" s="49"/>
      <c r="D19" s="50"/>
      <c r="E19" s="49"/>
      <c r="F19" s="50"/>
      <c r="G19" s="49"/>
      <c r="H19" s="50"/>
      <c r="I19" s="51"/>
      <c r="J19" s="52"/>
      <c r="K19" s="11"/>
      <c r="L19" s="17"/>
      <c r="M19" s="36"/>
      <c r="N19" s="37"/>
    </row>
    <row r="20" spans="2:14" ht="18" customHeight="1">
      <c r="B20" s="8"/>
      <c r="C20" s="44"/>
      <c r="D20" s="48"/>
      <c r="E20" s="44"/>
      <c r="F20" s="48"/>
      <c r="G20" s="44"/>
      <c r="H20" s="48"/>
      <c r="I20" s="44"/>
      <c r="J20" s="45"/>
      <c r="K20" s="11"/>
      <c r="L20" s="17"/>
      <c r="M20" s="36"/>
      <c r="N20" s="37"/>
    </row>
    <row r="21" spans="2:14" ht="18" customHeight="1">
      <c r="B21" s="6"/>
      <c r="C21" s="49"/>
      <c r="D21" s="50"/>
      <c r="E21" s="49"/>
      <c r="F21" s="50"/>
      <c r="G21" s="49"/>
      <c r="H21" s="50"/>
      <c r="I21" s="46"/>
      <c r="J21" s="47"/>
      <c r="K21" s="13"/>
      <c r="L21" s="19"/>
      <c r="M21" s="32"/>
      <c r="N21" s="33"/>
    </row>
    <row r="22" spans="2:14" ht="18" customHeight="1">
      <c r="B22" s="8"/>
      <c r="C22" s="44"/>
      <c r="D22" s="48"/>
      <c r="E22" s="44"/>
      <c r="F22" s="48"/>
      <c r="G22" s="44"/>
      <c r="H22" s="48"/>
      <c r="I22" s="44"/>
      <c r="J22" s="45"/>
      <c r="K22" s="85" t="s">
        <v>14</v>
      </c>
      <c r="L22" s="16"/>
      <c r="M22" s="34"/>
      <c r="N22" s="35"/>
    </row>
    <row r="23" spans="2:14" ht="18" customHeight="1">
      <c r="B23" s="6"/>
      <c r="C23" s="49"/>
      <c r="D23" s="50"/>
      <c r="E23" s="49"/>
      <c r="F23" s="50"/>
      <c r="G23" s="49"/>
      <c r="H23" s="50"/>
      <c r="I23" s="51"/>
      <c r="J23" s="52"/>
      <c r="K23" s="86"/>
      <c r="L23" s="17"/>
      <c r="M23" s="36"/>
      <c r="N23" s="37"/>
    </row>
    <row r="24" spans="2:14" ht="18" customHeight="1">
      <c r="B24" s="8"/>
      <c r="C24" s="44"/>
      <c r="D24" s="48"/>
      <c r="E24" s="44"/>
      <c r="F24" s="48"/>
      <c r="G24" s="44"/>
      <c r="H24" s="48"/>
      <c r="I24" s="44"/>
      <c r="J24" s="45"/>
      <c r="K24" s="86"/>
      <c r="L24" s="17"/>
      <c r="M24" s="36"/>
      <c r="N24" s="37"/>
    </row>
    <row r="25" spans="2:14" ht="18" customHeight="1">
      <c r="B25" s="6"/>
      <c r="C25" s="49"/>
      <c r="D25" s="50"/>
      <c r="E25" s="49"/>
      <c r="F25" s="50"/>
      <c r="G25" s="49"/>
      <c r="H25" s="50"/>
      <c r="I25" s="51"/>
      <c r="J25" s="52"/>
      <c r="K25" s="86"/>
      <c r="L25" s="17"/>
      <c r="M25" s="36"/>
      <c r="N25" s="37"/>
    </row>
    <row r="26" spans="2:14" ht="18" customHeight="1">
      <c r="B26" s="8"/>
      <c r="C26" s="44"/>
      <c r="D26" s="48"/>
      <c r="E26" s="44"/>
      <c r="F26" s="48"/>
      <c r="G26" s="44"/>
      <c r="H26" s="48"/>
      <c r="I26" s="44"/>
      <c r="J26" s="45"/>
      <c r="K26" s="11"/>
      <c r="L26" s="17"/>
      <c r="M26" s="36"/>
      <c r="N26" s="37"/>
    </row>
    <row r="27" spans="2:14" ht="18" customHeight="1">
      <c r="B27" s="6"/>
      <c r="C27" s="49"/>
      <c r="D27" s="50"/>
      <c r="E27" s="49"/>
      <c r="F27" s="50"/>
      <c r="G27" s="49"/>
      <c r="H27" s="50"/>
      <c r="I27" s="51"/>
      <c r="J27" s="52"/>
      <c r="K27" s="13"/>
      <c r="L27" s="19"/>
      <c r="M27" s="32"/>
      <c r="N27" s="33"/>
    </row>
    <row r="28" spans="2:14" ht="18" customHeight="1">
      <c r="B28" s="8"/>
      <c r="C28" s="44"/>
      <c r="D28" s="48"/>
      <c r="E28" s="44"/>
      <c r="F28" s="48"/>
      <c r="G28" s="44"/>
      <c r="H28" s="48"/>
      <c r="I28" s="44"/>
      <c r="J28" s="45"/>
      <c r="K28" s="68" t="s">
        <v>15</v>
      </c>
      <c r="L28" s="16"/>
      <c r="M28" s="34"/>
      <c r="N28" s="35"/>
    </row>
    <row r="29" spans="2:14" ht="18" customHeight="1">
      <c r="B29" s="6"/>
      <c r="C29" s="49"/>
      <c r="D29" s="50"/>
      <c r="E29" s="49"/>
      <c r="F29" s="50"/>
      <c r="G29" s="49"/>
      <c r="H29" s="50"/>
      <c r="I29" s="49"/>
      <c r="J29" s="67"/>
      <c r="K29" s="69"/>
      <c r="L29" s="17"/>
      <c r="M29" s="36"/>
      <c r="N29" s="37"/>
    </row>
    <row r="30" spans="2:14" ht="18" customHeight="1">
      <c r="B30" s="59"/>
      <c r="C30" s="60"/>
      <c r="D30" s="60"/>
      <c r="E30" s="60"/>
      <c r="F30" s="60"/>
      <c r="G30" s="60"/>
      <c r="H30" s="60"/>
      <c r="I30" s="60"/>
      <c r="J30" s="61"/>
      <c r="K30" s="69"/>
      <c r="L30" s="17"/>
      <c r="M30" s="36"/>
      <c r="N30" s="37"/>
    </row>
    <row r="31" spans="2:14" ht="18" customHeight="1">
      <c r="B31" s="62"/>
      <c r="C31" s="63"/>
      <c r="D31" s="63"/>
      <c r="E31" s="63"/>
      <c r="F31" s="63"/>
      <c r="G31" s="63"/>
      <c r="H31" s="63"/>
      <c r="I31" s="63"/>
      <c r="J31" s="64"/>
      <c r="K31" s="14"/>
      <c r="L31" s="17"/>
      <c r="M31" s="36"/>
      <c r="N31" s="37"/>
    </row>
    <row r="32" spans="2:14" ht="18" customHeight="1">
      <c r="B32" s="62"/>
      <c r="C32" s="63"/>
      <c r="D32" s="63"/>
      <c r="E32" s="63"/>
      <c r="F32" s="63"/>
      <c r="G32" s="63"/>
      <c r="H32" s="63"/>
      <c r="I32" s="63"/>
      <c r="J32" s="64"/>
      <c r="K32" s="14"/>
      <c r="L32" s="17"/>
      <c r="M32" s="36"/>
      <c r="N32" s="37"/>
    </row>
    <row r="33" spans="2:14" ht="18" customHeight="1">
      <c r="B33" s="7"/>
      <c r="C33" s="57"/>
      <c r="D33" s="58"/>
      <c r="E33" s="57"/>
      <c r="F33" s="58"/>
      <c r="G33" s="57"/>
      <c r="H33" s="58"/>
      <c r="I33" s="65"/>
      <c r="J33" s="66"/>
      <c r="K33" s="15"/>
      <c r="L33" s="20"/>
      <c r="M33" s="74"/>
      <c r="N33" s="75"/>
    </row>
  </sheetData>
  <mergeCells count="112">
    <mergeCell ref="M14:N14"/>
    <mergeCell ref="M15:N15"/>
    <mergeCell ref="M16:N16"/>
    <mergeCell ref="M17:N17"/>
    <mergeCell ref="M18:N18"/>
    <mergeCell ref="M19:N19"/>
    <mergeCell ref="M20:N20"/>
    <mergeCell ref="C19:D19"/>
    <mergeCell ref="C20:D20"/>
    <mergeCell ref="C22:D22"/>
    <mergeCell ref="C23:D23"/>
    <mergeCell ref="C14:D14"/>
    <mergeCell ref="C15:D15"/>
    <mergeCell ref="K16:K18"/>
    <mergeCell ref="K22:K25"/>
    <mergeCell ref="E13:F13"/>
    <mergeCell ref="C13:D13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M13:N13"/>
    <mergeCell ref="G28:H28"/>
    <mergeCell ref="G29:H29"/>
    <mergeCell ref="G33:H33"/>
    <mergeCell ref="I33:J33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31:N31"/>
    <mergeCell ref="M32:N32"/>
    <mergeCell ref="M33:N33"/>
    <mergeCell ref="M26:N26"/>
    <mergeCell ref="C29:D29"/>
    <mergeCell ref="C33:D33"/>
    <mergeCell ref="C24:D24"/>
    <mergeCell ref="C25:D25"/>
    <mergeCell ref="C26:D26"/>
    <mergeCell ref="C27:D27"/>
    <mergeCell ref="C28:D28"/>
    <mergeCell ref="B30:J32"/>
    <mergeCell ref="E28:F28"/>
    <mergeCell ref="E27:F27"/>
    <mergeCell ref="E26:F26"/>
    <mergeCell ref="E25:F25"/>
    <mergeCell ref="E24:F24"/>
    <mergeCell ref="E33:F33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</mergeCells>
  <phoneticPr fontId="2" type="noConversion"/>
  <conditionalFormatting sqref="C4:H4">
    <cfRule type="expression" dxfId="63" priority="5" stopIfTrue="1">
      <formula>DAY(C4)&gt;8</formula>
    </cfRule>
  </conditionalFormatting>
  <conditionalFormatting sqref="C8:I10">
    <cfRule type="expression" dxfId="62" priority="4" stopIfTrue="1">
      <formula>AND(DAY(C8)&gt;=1,DAY(C8)&lt;=15)</formula>
    </cfRule>
  </conditionalFormatting>
  <conditionalFormatting sqref="C4:I9">
    <cfRule type="expression" dxfId="61" priority="16">
      <formula>VLOOKUP(DAY(C4),DíasDeTareas,1,FALSE)=DAY(C4)</formula>
    </cfRule>
  </conditionalFormatting>
  <conditionalFormatting sqref="B14:J29 B33:J33">
    <cfRule type="expression" dxfId="60" priority="2">
      <formula>B14&lt;&gt;""</formula>
    </cfRule>
  </conditionalFormatting>
  <conditionalFormatting sqref="B30">
    <cfRule type="expression" dxfId="59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abSelected="1" topLeftCell="J11" zoomScale="85" zoomScaleNormal="85" zoomScalePageLayoutView="84" workbookViewId="0">
      <selection activeCell="N34" sqref="N34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38" t="s">
        <v>17</v>
      </c>
      <c r="C2" s="21"/>
      <c r="D2" s="21"/>
      <c r="E2" s="21"/>
      <c r="F2" s="21"/>
      <c r="G2" s="21"/>
      <c r="H2" s="21"/>
      <c r="I2" s="21"/>
      <c r="J2" s="22"/>
      <c r="K2" s="76" t="s">
        <v>2</v>
      </c>
      <c r="L2" s="77">
        <v>2013</v>
      </c>
      <c r="M2" s="77"/>
      <c r="N2" s="25"/>
    </row>
    <row r="3" spans="1:14" ht="21" customHeight="1">
      <c r="A3" s="4"/>
      <c r="B3" s="3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8"/>
      <c r="L3" s="79"/>
      <c r="M3" s="79"/>
      <c r="N3" s="26"/>
    </row>
    <row r="4" spans="1:14" ht="18" customHeight="1">
      <c r="A4" s="4"/>
      <c r="B4" s="39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80" t="s">
        <v>11</v>
      </c>
      <c r="L4" s="16"/>
      <c r="M4" s="100"/>
      <c r="N4" s="101"/>
    </row>
    <row r="5" spans="1:14" ht="18" customHeight="1">
      <c r="A5" s="4"/>
      <c r="B5" s="39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69"/>
      <c r="L5" s="17">
        <v>7</v>
      </c>
      <c r="M5" s="110" t="s">
        <v>36</v>
      </c>
      <c r="N5" s="111"/>
    </row>
    <row r="6" spans="1:14" ht="18" customHeight="1">
      <c r="A6" s="4"/>
      <c r="B6" s="39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69"/>
      <c r="L6" s="17">
        <v>14</v>
      </c>
      <c r="M6" s="110" t="s">
        <v>34</v>
      </c>
      <c r="N6" s="111"/>
    </row>
    <row r="7" spans="1:14" ht="18" customHeight="1">
      <c r="A7" s="4"/>
      <c r="B7" s="39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>
        <v>21</v>
      </c>
      <c r="M7" s="110" t="s">
        <v>34</v>
      </c>
      <c r="N7" s="111"/>
    </row>
    <row r="8" spans="1:14" ht="18.75" customHeight="1">
      <c r="A8" s="4"/>
      <c r="B8" s="39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>
        <v>28</v>
      </c>
      <c r="M8" s="100" t="s">
        <v>35</v>
      </c>
      <c r="N8" s="101"/>
    </row>
    <row r="9" spans="1:14" ht="18" customHeight="1">
      <c r="A9" s="4"/>
      <c r="B9" s="39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32"/>
      <c r="N9" s="33"/>
    </row>
    <row r="10" spans="1:14" ht="18" customHeight="1">
      <c r="A10" s="4"/>
      <c r="B10" s="40"/>
      <c r="C10" s="23"/>
      <c r="D10" s="23"/>
      <c r="E10" s="23"/>
      <c r="F10" s="23"/>
      <c r="G10" s="23"/>
      <c r="H10" s="23"/>
      <c r="I10" s="23"/>
      <c r="J10" s="24"/>
      <c r="K10" s="68" t="s">
        <v>12</v>
      </c>
      <c r="L10" s="16">
        <v>1</v>
      </c>
      <c r="M10" s="110" t="s">
        <v>34</v>
      </c>
      <c r="N10" s="111"/>
    </row>
    <row r="11" spans="1:14" ht="18" customHeight="1">
      <c r="A11" s="4"/>
      <c r="B11" s="41" t="s">
        <v>10</v>
      </c>
      <c r="C11" s="42"/>
      <c r="D11" s="42"/>
      <c r="E11" s="42"/>
      <c r="F11" s="42"/>
      <c r="G11" s="42"/>
      <c r="H11" s="42"/>
      <c r="I11" s="42"/>
      <c r="J11" s="43"/>
      <c r="K11" s="69"/>
      <c r="L11" s="17">
        <v>8</v>
      </c>
      <c r="M11" s="110" t="s">
        <v>34</v>
      </c>
      <c r="N11" s="111"/>
    </row>
    <row r="12" spans="1:14" ht="18" customHeight="1">
      <c r="A12" s="4"/>
      <c r="B12" s="41"/>
      <c r="C12" s="42"/>
      <c r="D12" s="42"/>
      <c r="E12" s="42"/>
      <c r="F12" s="42"/>
      <c r="G12" s="42"/>
      <c r="H12" s="42"/>
      <c r="I12" s="42"/>
      <c r="J12" s="43"/>
      <c r="K12" s="69"/>
      <c r="L12" s="17">
        <v>15</v>
      </c>
      <c r="M12" s="110" t="s">
        <v>34</v>
      </c>
      <c r="N12" s="111"/>
    </row>
    <row r="13" spans="1:14" ht="18" customHeight="1">
      <c r="B13" s="3" t="s">
        <v>11</v>
      </c>
      <c r="C13" s="70" t="s">
        <v>12</v>
      </c>
      <c r="D13" s="72"/>
      <c r="E13" s="70" t="s">
        <v>13</v>
      </c>
      <c r="F13" s="72"/>
      <c r="G13" s="70" t="s">
        <v>14</v>
      </c>
      <c r="H13" s="72"/>
      <c r="I13" s="70" t="s">
        <v>15</v>
      </c>
      <c r="J13" s="71"/>
      <c r="K13" s="11"/>
      <c r="L13" s="17">
        <v>22</v>
      </c>
      <c r="M13" s="110" t="s">
        <v>34</v>
      </c>
      <c r="N13" s="111"/>
    </row>
    <row r="14" spans="1:14" ht="18" customHeight="1">
      <c r="B14" s="8"/>
      <c r="C14" s="44"/>
      <c r="D14" s="48"/>
      <c r="E14" s="44"/>
      <c r="F14" s="48"/>
      <c r="G14" s="44"/>
      <c r="H14" s="48"/>
      <c r="I14" s="44"/>
      <c r="J14" s="45"/>
      <c r="K14" s="11"/>
      <c r="L14" s="17">
        <v>29</v>
      </c>
      <c r="M14" s="110" t="s">
        <v>34</v>
      </c>
      <c r="N14" s="111"/>
    </row>
    <row r="15" spans="1:14" ht="18" customHeight="1">
      <c r="B15" s="6"/>
      <c r="C15" s="49"/>
      <c r="D15" s="50"/>
      <c r="E15" s="49"/>
      <c r="F15" s="50"/>
      <c r="G15" s="49"/>
      <c r="H15" s="50"/>
      <c r="I15" s="51"/>
      <c r="J15" s="52"/>
      <c r="K15" s="13"/>
      <c r="L15" s="19"/>
      <c r="M15" s="32"/>
      <c r="N15" s="33"/>
    </row>
    <row r="16" spans="1:14" ht="18" customHeight="1">
      <c r="B16" s="8"/>
      <c r="C16" s="44"/>
      <c r="D16" s="48"/>
      <c r="E16" s="44"/>
      <c r="F16" s="48"/>
      <c r="G16" s="44"/>
      <c r="H16" s="48"/>
      <c r="I16" s="53"/>
      <c r="J16" s="54"/>
      <c r="K16" s="85" t="s">
        <v>13</v>
      </c>
      <c r="L16" s="16">
        <v>2</v>
      </c>
      <c r="M16" s="110" t="s">
        <v>34</v>
      </c>
      <c r="N16" s="111"/>
    </row>
    <row r="17" spans="2:14" ht="18" customHeight="1">
      <c r="B17" s="6"/>
      <c r="C17" s="49"/>
      <c r="D17" s="50"/>
      <c r="E17" s="49"/>
      <c r="F17" s="50"/>
      <c r="G17" s="49"/>
      <c r="H17" s="50"/>
      <c r="I17" s="51"/>
      <c r="J17" s="52"/>
      <c r="K17" s="86"/>
      <c r="L17" s="17">
        <v>9</v>
      </c>
      <c r="M17" s="110" t="s">
        <v>34</v>
      </c>
      <c r="N17" s="111"/>
    </row>
    <row r="18" spans="2:14" ht="18" customHeight="1">
      <c r="B18" s="9"/>
      <c r="C18" s="55"/>
      <c r="D18" s="56"/>
      <c r="E18" s="55"/>
      <c r="F18" s="56"/>
      <c r="G18" s="55"/>
      <c r="H18" s="56"/>
      <c r="I18" s="55"/>
      <c r="J18" s="73"/>
      <c r="K18" s="86"/>
      <c r="L18" s="17">
        <v>16</v>
      </c>
      <c r="M18" s="110" t="s">
        <v>34</v>
      </c>
      <c r="N18" s="111"/>
    </row>
    <row r="19" spans="2:14" ht="18" customHeight="1">
      <c r="B19" s="6"/>
      <c r="C19" s="49"/>
      <c r="D19" s="50"/>
      <c r="E19" s="49"/>
      <c r="F19" s="50"/>
      <c r="G19" s="49"/>
      <c r="H19" s="50"/>
      <c r="I19" s="51"/>
      <c r="J19" s="52"/>
      <c r="K19" s="11"/>
      <c r="L19" s="17">
        <v>23</v>
      </c>
      <c r="M19" s="110" t="s">
        <v>34</v>
      </c>
      <c r="N19" s="111"/>
    </row>
    <row r="20" spans="2:14" ht="18" customHeight="1">
      <c r="B20" s="8"/>
      <c r="C20" s="44"/>
      <c r="D20" s="48"/>
      <c r="E20" s="44"/>
      <c r="F20" s="48"/>
      <c r="G20" s="44"/>
      <c r="H20" s="48"/>
      <c r="I20" s="44"/>
      <c r="J20" s="45"/>
      <c r="K20" s="11"/>
      <c r="L20" s="17">
        <v>30</v>
      </c>
      <c r="M20" s="110" t="s">
        <v>34</v>
      </c>
      <c r="N20" s="111"/>
    </row>
    <row r="21" spans="2:14" ht="18" customHeight="1">
      <c r="B21" s="6"/>
      <c r="C21" s="49"/>
      <c r="D21" s="50"/>
      <c r="E21" s="49"/>
      <c r="F21" s="50"/>
      <c r="G21" s="49"/>
      <c r="H21" s="50"/>
      <c r="I21" s="46"/>
      <c r="J21" s="47"/>
      <c r="K21" s="13"/>
      <c r="L21" s="19"/>
      <c r="M21" s="32"/>
      <c r="N21" s="33"/>
    </row>
    <row r="22" spans="2:14" ht="18" customHeight="1">
      <c r="B22" s="8"/>
      <c r="C22" s="44"/>
      <c r="D22" s="48"/>
      <c r="E22" s="44"/>
      <c r="F22" s="48"/>
      <c r="G22" s="44"/>
      <c r="H22" s="48"/>
      <c r="I22" s="44"/>
      <c r="J22" s="45"/>
      <c r="K22" s="85" t="s">
        <v>14</v>
      </c>
      <c r="L22" s="16">
        <v>3</v>
      </c>
      <c r="M22" s="108" t="s">
        <v>37</v>
      </c>
      <c r="N22" s="109"/>
    </row>
    <row r="23" spans="2:14" ht="18" customHeight="1">
      <c r="B23" s="6"/>
      <c r="C23" s="49"/>
      <c r="D23" s="50"/>
      <c r="E23" s="49"/>
      <c r="F23" s="50"/>
      <c r="G23" s="49"/>
      <c r="H23" s="50"/>
      <c r="I23" s="51"/>
      <c r="J23" s="52"/>
      <c r="K23" s="86"/>
      <c r="L23" s="17">
        <v>10</v>
      </c>
      <c r="M23" s="110" t="s">
        <v>34</v>
      </c>
      <c r="N23" s="111"/>
    </row>
    <row r="24" spans="2:14" ht="18" customHeight="1">
      <c r="B24" s="8"/>
      <c r="C24" s="44"/>
      <c r="D24" s="48"/>
      <c r="E24" s="44"/>
      <c r="F24" s="48"/>
      <c r="G24" s="44"/>
      <c r="H24" s="48"/>
      <c r="I24" s="44"/>
      <c r="J24" s="45"/>
      <c r="K24" s="86"/>
      <c r="L24" s="17">
        <v>17</v>
      </c>
      <c r="M24" s="110" t="s">
        <v>34</v>
      </c>
      <c r="N24" s="111"/>
    </row>
    <row r="25" spans="2:14" ht="18" customHeight="1">
      <c r="B25" s="6"/>
      <c r="C25" s="49"/>
      <c r="D25" s="50"/>
      <c r="E25" s="49"/>
      <c r="F25" s="50"/>
      <c r="G25" s="49"/>
      <c r="H25" s="50"/>
      <c r="I25" s="51"/>
      <c r="J25" s="52"/>
      <c r="K25" s="86"/>
      <c r="L25" s="17">
        <v>24</v>
      </c>
      <c r="M25" s="110" t="s">
        <v>34</v>
      </c>
      <c r="N25" s="111"/>
    </row>
    <row r="26" spans="2:14" ht="18" customHeight="1">
      <c r="B26" s="8"/>
      <c r="C26" s="44"/>
      <c r="D26" s="48"/>
      <c r="E26" s="44"/>
      <c r="F26" s="48"/>
      <c r="G26" s="44"/>
      <c r="H26" s="48"/>
      <c r="I26" s="44"/>
      <c r="J26" s="45"/>
      <c r="K26" s="11"/>
      <c r="L26" s="17">
        <v>31</v>
      </c>
      <c r="M26" s="110" t="s">
        <v>34</v>
      </c>
      <c r="N26" s="111"/>
    </row>
    <row r="27" spans="2:14" ht="18" customHeight="1">
      <c r="B27" s="6"/>
      <c r="C27" s="49"/>
      <c r="D27" s="50"/>
      <c r="E27" s="49"/>
      <c r="F27" s="50"/>
      <c r="G27" s="49"/>
      <c r="H27" s="50"/>
      <c r="I27" s="51"/>
      <c r="J27" s="52"/>
      <c r="K27" s="13"/>
      <c r="L27" s="19"/>
      <c r="M27" s="32"/>
      <c r="N27" s="33"/>
    </row>
    <row r="28" spans="2:14" ht="18" customHeight="1">
      <c r="B28" s="8"/>
      <c r="C28" s="44"/>
      <c r="D28" s="48"/>
      <c r="E28" s="44"/>
      <c r="F28" s="48"/>
      <c r="G28" s="44"/>
      <c r="H28" s="48"/>
      <c r="I28" s="44"/>
      <c r="J28" s="45"/>
      <c r="K28" s="68" t="s">
        <v>15</v>
      </c>
      <c r="L28" s="16">
        <v>4</v>
      </c>
      <c r="M28" s="110" t="s">
        <v>34</v>
      </c>
      <c r="N28" s="111"/>
    </row>
    <row r="29" spans="2:14" ht="18" customHeight="1">
      <c r="B29" s="6"/>
      <c r="C29" s="49"/>
      <c r="D29" s="50"/>
      <c r="E29" s="49"/>
      <c r="F29" s="50"/>
      <c r="G29" s="49"/>
      <c r="H29" s="50"/>
      <c r="I29" s="49"/>
      <c r="J29" s="67"/>
      <c r="K29" s="69"/>
      <c r="L29" s="17">
        <v>11</v>
      </c>
      <c r="M29" s="110" t="s">
        <v>34</v>
      </c>
      <c r="N29" s="111"/>
    </row>
    <row r="30" spans="2:14" ht="18" customHeight="1">
      <c r="B30" s="94" t="s">
        <v>27</v>
      </c>
      <c r="C30" s="95"/>
      <c r="D30" s="95"/>
      <c r="E30" s="95"/>
      <c r="F30" s="95"/>
      <c r="G30" s="95"/>
      <c r="H30" s="95"/>
      <c r="I30" s="95"/>
      <c r="J30" s="96"/>
      <c r="K30" s="69"/>
      <c r="L30" s="17">
        <v>18</v>
      </c>
      <c r="M30" s="110" t="s">
        <v>34</v>
      </c>
      <c r="N30" s="111"/>
    </row>
    <row r="31" spans="2:14" ht="18" customHeight="1">
      <c r="B31" s="97"/>
      <c r="C31" s="98"/>
      <c r="D31" s="98"/>
      <c r="E31" s="98"/>
      <c r="F31" s="98"/>
      <c r="G31" s="98"/>
      <c r="H31" s="98"/>
      <c r="I31" s="98"/>
      <c r="J31" s="99"/>
      <c r="K31" s="14"/>
      <c r="L31" s="17">
        <v>25</v>
      </c>
      <c r="M31" s="110" t="s">
        <v>34</v>
      </c>
      <c r="N31" s="111"/>
    </row>
    <row r="32" spans="2:14" ht="18" customHeight="1">
      <c r="B32" s="97"/>
      <c r="C32" s="98"/>
      <c r="D32" s="98"/>
      <c r="E32" s="98"/>
      <c r="F32" s="98"/>
      <c r="G32" s="98"/>
      <c r="H32" s="98"/>
      <c r="I32" s="98"/>
      <c r="J32" s="99"/>
      <c r="K32" s="14"/>
      <c r="L32" s="17"/>
      <c r="M32" s="36"/>
      <c r="N32" s="37"/>
    </row>
    <row r="33" spans="2:14" ht="18" customHeight="1">
      <c r="B33" s="7"/>
      <c r="C33" s="57"/>
      <c r="D33" s="58"/>
      <c r="E33" s="57"/>
      <c r="F33" s="58"/>
      <c r="G33" s="57"/>
      <c r="H33" s="58"/>
      <c r="I33" s="65"/>
      <c r="J33" s="66"/>
      <c r="K33" s="15"/>
      <c r="L33" s="20"/>
      <c r="M33" s="74"/>
      <c r="N33" s="75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7" priority="5" stopIfTrue="1">
      <formula>DAY(C4)&gt;8</formula>
    </cfRule>
  </conditionalFormatting>
  <conditionalFormatting sqref="C8:I10">
    <cfRule type="expression" dxfId="16" priority="4" stopIfTrue="1">
      <formula>AND(DAY(C8)&gt;=1,DAY(C8)&lt;=15)</formula>
    </cfRule>
  </conditionalFormatting>
  <conditionalFormatting sqref="C4:I9">
    <cfRule type="expression" dxfId="15" priority="6">
      <formula>VLOOKUP(DAY(C4),DíasDeTareas,1,FALSE)=DAY(C4)</formula>
    </cfRule>
  </conditionalFormatting>
  <conditionalFormatting sqref="B14:J29 B33:J33">
    <cfRule type="expression" dxfId="14" priority="3">
      <formula>B14&lt;&gt;""</formula>
    </cfRule>
  </conditionalFormatting>
  <conditionalFormatting sqref="B30">
    <cfRule type="expression" dxfId="13" priority="2">
      <formula>B30&lt;&gt;""</formula>
    </cfRule>
  </conditionalFormatting>
  <conditionalFormatting sqref="B30">
    <cfRule type="expression" dxfId="12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A22" zoomScaleNormal="100" zoomScalePageLayoutView="84" workbookViewId="0">
      <selection activeCell="B30" sqref="B30:J32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38" t="s">
        <v>16</v>
      </c>
      <c r="C2" s="21"/>
      <c r="D2" s="21"/>
      <c r="E2" s="21"/>
      <c r="F2" s="21"/>
      <c r="G2" s="21"/>
      <c r="H2" s="21"/>
      <c r="I2" s="21"/>
      <c r="J2" s="22"/>
      <c r="K2" s="76" t="s">
        <v>2</v>
      </c>
      <c r="L2" s="77">
        <v>2013</v>
      </c>
      <c r="M2" s="77"/>
      <c r="N2" s="25"/>
    </row>
    <row r="3" spans="1:14" ht="21" customHeight="1">
      <c r="A3" s="4"/>
      <c r="B3" s="3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8"/>
      <c r="L3" s="79"/>
      <c r="M3" s="79"/>
      <c r="N3" s="26"/>
    </row>
    <row r="4" spans="1:14" ht="18" customHeight="1">
      <c r="A4" s="4"/>
      <c r="B4" s="39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80" t="s">
        <v>11</v>
      </c>
      <c r="L4" s="16"/>
      <c r="M4" s="81"/>
      <c r="N4" s="82"/>
    </row>
    <row r="5" spans="1:14" ht="18" customHeight="1">
      <c r="A5" s="4"/>
      <c r="B5" s="39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69"/>
      <c r="L5" s="17"/>
      <c r="M5" s="36"/>
      <c r="N5" s="37"/>
    </row>
    <row r="6" spans="1:14" ht="18" customHeight="1">
      <c r="A6" s="4"/>
      <c r="B6" s="39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69"/>
      <c r="L6" s="17"/>
      <c r="M6" s="36"/>
      <c r="N6" s="37"/>
    </row>
    <row r="7" spans="1:14" ht="18" customHeight="1">
      <c r="A7" s="4"/>
      <c r="B7" s="39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36"/>
      <c r="N7" s="37"/>
    </row>
    <row r="8" spans="1:14" ht="18.75" customHeight="1">
      <c r="A8" s="4"/>
      <c r="B8" s="39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36"/>
      <c r="N8" s="37"/>
    </row>
    <row r="9" spans="1:14" ht="18" customHeight="1">
      <c r="A9" s="4"/>
      <c r="B9" s="39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32"/>
      <c r="N9" s="33"/>
    </row>
    <row r="10" spans="1:14" ht="18" customHeight="1">
      <c r="A10" s="4"/>
      <c r="B10" s="40"/>
      <c r="C10" s="23"/>
      <c r="D10" s="23"/>
      <c r="E10" s="23"/>
      <c r="F10" s="23"/>
      <c r="G10" s="23"/>
      <c r="H10" s="23"/>
      <c r="I10" s="23"/>
      <c r="J10" s="24"/>
      <c r="K10" s="68" t="s">
        <v>12</v>
      </c>
      <c r="L10" s="16"/>
      <c r="M10" s="34"/>
      <c r="N10" s="35"/>
    </row>
    <row r="11" spans="1:14" ht="18" customHeight="1">
      <c r="A11" s="4"/>
      <c r="B11" s="41" t="s">
        <v>10</v>
      </c>
      <c r="C11" s="42"/>
      <c r="D11" s="42"/>
      <c r="E11" s="42"/>
      <c r="F11" s="42"/>
      <c r="G11" s="42"/>
      <c r="H11" s="42"/>
      <c r="I11" s="42"/>
      <c r="J11" s="43"/>
      <c r="K11" s="69"/>
      <c r="L11" s="17"/>
      <c r="M11" s="36"/>
      <c r="N11" s="37"/>
    </row>
    <row r="12" spans="1:14" ht="18" customHeight="1">
      <c r="A12" s="4"/>
      <c r="B12" s="41"/>
      <c r="C12" s="42"/>
      <c r="D12" s="42"/>
      <c r="E12" s="42"/>
      <c r="F12" s="42"/>
      <c r="G12" s="42"/>
      <c r="H12" s="42"/>
      <c r="I12" s="42"/>
      <c r="J12" s="43"/>
      <c r="K12" s="69"/>
      <c r="L12" s="17"/>
      <c r="M12" s="36"/>
      <c r="N12" s="37"/>
    </row>
    <row r="13" spans="1:14" ht="18" customHeight="1">
      <c r="B13" s="3" t="s">
        <v>11</v>
      </c>
      <c r="C13" s="70" t="s">
        <v>12</v>
      </c>
      <c r="D13" s="72"/>
      <c r="E13" s="70" t="s">
        <v>13</v>
      </c>
      <c r="F13" s="72"/>
      <c r="G13" s="70" t="s">
        <v>14</v>
      </c>
      <c r="H13" s="72"/>
      <c r="I13" s="70" t="s">
        <v>15</v>
      </c>
      <c r="J13" s="71"/>
      <c r="K13" s="11"/>
      <c r="L13" s="17"/>
      <c r="M13" s="36"/>
      <c r="N13" s="37"/>
    </row>
    <row r="14" spans="1:14" ht="18" customHeight="1">
      <c r="B14" s="8"/>
      <c r="C14" s="44"/>
      <c r="D14" s="48"/>
      <c r="E14" s="44"/>
      <c r="F14" s="48"/>
      <c r="G14" s="44"/>
      <c r="H14" s="48"/>
      <c r="I14" s="44"/>
      <c r="J14" s="45"/>
      <c r="K14" s="11"/>
      <c r="L14" s="17"/>
      <c r="M14" s="36"/>
      <c r="N14" s="37"/>
    </row>
    <row r="15" spans="1:14" ht="18" customHeight="1">
      <c r="B15" s="6"/>
      <c r="C15" s="49"/>
      <c r="D15" s="50"/>
      <c r="E15" s="49"/>
      <c r="F15" s="50"/>
      <c r="G15" s="49"/>
      <c r="H15" s="50"/>
      <c r="I15" s="51"/>
      <c r="J15" s="52"/>
      <c r="K15" s="13"/>
      <c r="L15" s="19"/>
      <c r="M15" s="32"/>
      <c r="N15" s="33"/>
    </row>
    <row r="16" spans="1:14" ht="18" customHeight="1">
      <c r="B16" s="8"/>
      <c r="C16" s="44"/>
      <c r="D16" s="48"/>
      <c r="E16" s="44"/>
      <c r="F16" s="48"/>
      <c r="G16" s="44"/>
      <c r="H16" s="48"/>
      <c r="I16" s="53"/>
      <c r="J16" s="54"/>
      <c r="K16" s="85" t="s">
        <v>13</v>
      </c>
      <c r="L16" s="16"/>
      <c r="M16" s="34"/>
      <c r="N16" s="35"/>
    </row>
    <row r="17" spans="2:14" ht="18" customHeight="1">
      <c r="B17" s="6"/>
      <c r="C17" s="49"/>
      <c r="D17" s="50"/>
      <c r="E17" s="49"/>
      <c r="F17" s="50"/>
      <c r="G17" s="49"/>
      <c r="H17" s="50"/>
      <c r="I17" s="51"/>
      <c r="J17" s="52"/>
      <c r="K17" s="86"/>
      <c r="L17" s="17"/>
      <c r="M17" s="36"/>
      <c r="N17" s="37"/>
    </row>
    <row r="18" spans="2:14" ht="18" customHeight="1">
      <c r="B18" s="9"/>
      <c r="C18" s="55"/>
      <c r="D18" s="56"/>
      <c r="E18" s="55"/>
      <c r="F18" s="56"/>
      <c r="G18" s="55"/>
      <c r="H18" s="56"/>
      <c r="I18" s="55"/>
      <c r="J18" s="73"/>
      <c r="K18" s="86"/>
      <c r="L18" s="17"/>
      <c r="M18" s="36"/>
      <c r="N18" s="37"/>
    </row>
    <row r="19" spans="2:14" ht="18" customHeight="1">
      <c r="B19" s="6"/>
      <c r="C19" s="49"/>
      <c r="D19" s="50"/>
      <c r="E19" s="49"/>
      <c r="F19" s="50"/>
      <c r="G19" s="49"/>
      <c r="H19" s="50"/>
      <c r="I19" s="51"/>
      <c r="J19" s="52"/>
      <c r="K19" s="11"/>
      <c r="L19" s="17"/>
      <c r="M19" s="36"/>
      <c r="N19" s="37"/>
    </row>
    <row r="20" spans="2:14" ht="18" customHeight="1">
      <c r="B20" s="8"/>
      <c r="C20" s="44"/>
      <c r="D20" s="48"/>
      <c r="E20" s="44"/>
      <c r="F20" s="48"/>
      <c r="G20" s="44"/>
      <c r="H20" s="48"/>
      <c r="I20" s="44"/>
      <c r="J20" s="45"/>
      <c r="K20" s="11"/>
      <c r="L20" s="17"/>
      <c r="M20" s="36"/>
      <c r="N20" s="37"/>
    </row>
    <row r="21" spans="2:14" ht="18" customHeight="1">
      <c r="B21" s="6"/>
      <c r="C21" s="49"/>
      <c r="D21" s="50"/>
      <c r="E21" s="49"/>
      <c r="F21" s="50"/>
      <c r="G21" s="49"/>
      <c r="H21" s="50"/>
      <c r="I21" s="46"/>
      <c r="J21" s="47"/>
      <c r="K21" s="13"/>
      <c r="L21" s="19"/>
      <c r="M21" s="32"/>
      <c r="N21" s="33"/>
    </row>
    <row r="22" spans="2:14" ht="18" customHeight="1">
      <c r="B22" s="8"/>
      <c r="C22" s="44"/>
      <c r="D22" s="48"/>
      <c r="E22" s="44"/>
      <c r="F22" s="48"/>
      <c r="G22" s="44"/>
      <c r="H22" s="48"/>
      <c r="I22" s="44"/>
      <c r="J22" s="45"/>
      <c r="K22" s="85" t="s">
        <v>14</v>
      </c>
      <c r="L22" s="16"/>
      <c r="M22" s="34"/>
      <c r="N22" s="35"/>
    </row>
    <row r="23" spans="2:14" ht="18" customHeight="1">
      <c r="B23" s="6"/>
      <c r="C23" s="49"/>
      <c r="D23" s="50"/>
      <c r="E23" s="49"/>
      <c r="F23" s="50"/>
      <c r="G23" s="49"/>
      <c r="H23" s="50"/>
      <c r="I23" s="51"/>
      <c r="J23" s="52"/>
      <c r="K23" s="86"/>
      <c r="L23" s="17"/>
      <c r="M23" s="36"/>
      <c r="N23" s="37"/>
    </row>
    <row r="24" spans="2:14" ht="18" customHeight="1">
      <c r="B24" s="8"/>
      <c r="C24" s="44"/>
      <c r="D24" s="48"/>
      <c r="E24" s="44"/>
      <c r="F24" s="48"/>
      <c r="G24" s="44"/>
      <c r="H24" s="48"/>
      <c r="I24" s="44"/>
      <c r="J24" s="45"/>
      <c r="K24" s="86"/>
      <c r="L24" s="17"/>
      <c r="M24" s="36"/>
      <c r="N24" s="37"/>
    </row>
    <row r="25" spans="2:14" ht="18" customHeight="1">
      <c r="B25" s="6"/>
      <c r="C25" s="49"/>
      <c r="D25" s="50"/>
      <c r="E25" s="49"/>
      <c r="F25" s="50"/>
      <c r="G25" s="49"/>
      <c r="H25" s="50"/>
      <c r="I25" s="51"/>
      <c r="J25" s="52"/>
      <c r="K25" s="86"/>
      <c r="L25" s="17"/>
      <c r="M25" s="36"/>
      <c r="N25" s="37"/>
    </row>
    <row r="26" spans="2:14" ht="18" customHeight="1">
      <c r="B26" s="8"/>
      <c r="C26" s="44"/>
      <c r="D26" s="48"/>
      <c r="E26" s="44"/>
      <c r="F26" s="48"/>
      <c r="G26" s="44"/>
      <c r="H26" s="48"/>
      <c r="I26" s="44"/>
      <c r="J26" s="45"/>
      <c r="K26" s="11"/>
      <c r="L26" s="17"/>
      <c r="M26" s="36"/>
      <c r="N26" s="37"/>
    </row>
    <row r="27" spans="2:14" ht="18" customHeight="1">
      <c r="B27" s="6"/>
      <c r="C27" s="49"/>
      <c r="D27" s="50"/>
      <c r="E27" s="49"/>
      <c r="F27" s="50"/>
      <c r="G27" s="49"/>
      <c r="H27" s="50"/>
      <c r="I27" s="51"/>
      <c r="J27" s="52"/>
      <c r="K27" s="13"/>
      <c r="L27" s="19"/>
      <c r="M27" s="32"/>
      <c r="N27" s="33"/>
    </row>
    <row r="28" spans="2:14" ht="18" customHeight="1">
      <c r="B28" s="8"/>
      <c r="C28" s="44"/>
      <c r="D28" s="48"/>
      <c r="E28" s="44"/>
      <c r="F28" s="48"/>
      <c r="G28" s="44"/>
      <c r="H28" s="48"/>
      <c r="I28" s="44"/>
      <c r="J28" s="45"/>
      <c r="K28" s="68" t="s">
        <v>15</v>
      </c>
      <c r="L28" s="16"/>
      <c r="M28" s="34"/>
      <c r="N28" s="35"/>
    </row>
    <row r="29" spans="2:14" ht="18" customHeight="1">
      <c r="B29" s="6"/>
      <c r="C29" s="49"/>
      <c r="D29" s="50"/>
      <c r="E29" s="49"/>
      <c r="F29" s="50"/>
      <c r="G29" s="49"/>
      <c r="H29" s="50"/>
      <c r="I29" s="49"/>
      <c r="J29" s="67"/>
      <c r="K29" s="69"/>
      <c r="L29" s="17"/>
      <c r="M29" s="36"/>
      <c r="N29" s="37"/>
    </row>
    <row r="30" spans="2:14" ht="18" customHeight="1">
      <c r="B30" s="94" t="s">
        <v>27</v>
      </c>
      <c r="C30" s="95"/>
      <c r="D30" s="95"/>
      <c r="E30" s="95"/>
      <c r="F30" s="95"/>
      <c r="G30" s="95"/>
      <c r="H30" s="95"/>
      <c r="I30" s="95"/>
      <c r="J30" s="96"/>
      <c r="K30" s="69"/>
      <c r="L30" s="17"/>
      <c r="M30" s="36"/>
      <c r="N30" s="37"/>
    </row>
    <row r="31" spans="2:14" ht="18" customHeight="1">
      <c r="B31" s="97"/>
      <c r="C31" s="98"/>
      <c r="D31" s="98"/>
      <c r="E31" s="98"/>
      <c r="F31" s="98"/>
      <c r="G31" s="98"/>
      <c r="H31" s="98"/>
      <c r="I31" s="98"/>
      <c r="J31" s="99"/>
      <c r="K31" s="14"/>
      <c r="L31" s="17"/>
      <c r="M31" s="36"/>
      <c r="N31" s="37"/>
    </row>
    <row r="32" spans="2:14" ht="18" customHeight="1">
      <c r="B32" s="97"/>
      <c r="C32" s="98"/>
      <c r="D32" s="98"/>
      <c r="E32" s="98"/>
      <c r="F32" s="98"/>
      <c r="G32" s="98"/>
      <c r="H32" s="98"/>
      <c r="I32" s="98"/>
      <c r="J32" s="99"/>
      <c r="K32" s="14"/>
      <c r="L32" s="17"/>
      <c r="M32" s="36"/>
      <c r="N32" s="37"/>
    </row>
    <row r="33" spans="2:14" ht="18" customHeight="1">
      <c r="B33" s="7"/>
      <c r="C33" s="57"/>
      <c r="D33" s="58"/>
      <c r="E33" s="57"/>
      <c r="F33" s="58"/>
      <c r="G33" s="57"/>
      <c r="H33" s="58"/>
      <c r="I33" s="65"/>
      <c r="J33" s="66"/>
      <c r="K33" s="15"/>
      <c r="L33" s="20"/>
      <c r="M33" s="74"/>
      <c r="N33" s="75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1" priority="5" stopIfTrue="1">
      <formula>DAY(C4)&gt;8</formula>
    </cfRule>
  </conditionalFormatting>
  <conditionalFormatting sqref="C8:I10">
    <cfRule type="expression" dxfId="10" priority="4" stopIfTrue="1">
      <formula>AND(DAY(C8)&gt;=1,DAY(C8)&lt;=15)</formula>
    </cfRule>
  </conditionalFormatting>
  <conditionalFormatting sqref="C4:I9">
    <cfRule type="expression" dxfId="9" priority="6">
      <formula>VLOOKUP(DAY(C4),DíasDeTareas,1,FALSE)=DAY(C4)</formula>
    </cfRule>
  </conditionalFormatting>
  <conditionalFormatting sqref="B14:J29 B33:J33">
    <cfRule type="expression" dxfId="8" priority="3">
      <formula>B14&lt;&gt;""</formula>
    </cfRule>
  </conditionalFormatting>
  <conditionalFormatting sqref="B30">
    <cfRule type="expression" dxfId="7" priority="2">
      <formula>B30&lt;&gt;""</formula>
    </cfRule>
  </conditionalFormatting>
  <conditionalFormatting sqref="B30">
    <cfRule type="expression" dxfId="6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B30" sqref="B30:J32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38" t="s">
        <v>9</v>
      </c>
      <c r="C2" s="21"/>
      <c r="D2" s="21"/>
      <c r="E2" s="21"/>
      <c r="F2" s="21"/>
      <c r="G2" s="21"/>
      <c r="H2" s="21"/>
      <c r="I2" s="21"/>
      <c r="J2" s="22"/>
      <c r="K2" s="76" t="s">
        <v>2</v>
      </c>
      <c r="L2" s="77">
        <v>2013</v>
      </c>
      <c r="M2" s="77"/>
      <c r="N2" s="25"/>
    </row>
    <row r="3" spans="1:14" ht="21" customHeight="1">
      <c r="A3" s="4"/>
      <c r="B3" s="3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8"/>
      <c r="L3" s="79"/>
      <c r="M3" s="79"/>
      <c r="N3" s="26"/>
    </row>
    <row r="4" spans="1:14" ht="18" customHeight="1">
      <c r="A4" s="4"/>
      <c r="B4" s="39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80" t="s">
        <v>11</v>
      </c>
      <c r="L4" s="16"/>
      <c r="M4" s="81"/>
      <c r="N4" s="82"/>
    </row>
    <row r="5" spans="1:14" ht="18" customHeight="1">
      <c r="A5" s="4"/>
      <c r="B5" s="39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69"/>
      <c r="L5" s="17"/>
      <c r="M5" s="36"/>
      <c r="N5" s="37"/>
    </row>
    <row r="6" spans="1:14" ht="18" customHeight="1">
      <c r="A6" s="4"/>
      <c r="B6" s="39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69"/>
      <c r="L6" s="17"/>
      <c r="M6" s="36"/>
      <c r="N6" s="37"/>
    </row>
    <row r="7" spans="1:14" ht="18" customHeight="1">
      <c r="A7" s="4"/>
      <c r="B7" s="39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36"/>
      <c r="N7" s="37"/>
    </row>
    <row r="8" spans="1:14" ht="18.75" customHeight="1">
      <c r="A8" s="4"/>
      <c r="B8" s="39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36"/>
      <c r="N8" s="37"/>
    </row>
    <row r="9" spans="1:14" ht="18" customHeight="1">
      <c r="A9" s="4"/>
      <c r="B9" s="39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32"/>
      <c r="N9" s="33"/>
    </row>
    <row r="10" spans="1:14" ht="18" customHeight="1">
      <c r="A10" s="4"/>
      <c r="B10" s="40"/>
      <c r="C10" s="23"/>
      <c r="D10" s="23"/>
      <c r="E10" s="23"/>
      <c r="F10" s="23"/>
      <c r="G10" s="23"/>
      <c r="H10" s="23"/>
      <c r="I10" s="23"/>
      <c r="J10" s="24"/>
      <c r="K10" s="68" t="s">
        <v>12</v>
      </c>
      <c r="L10" s="16"/>
      <c r="M10" s="34"/>
      <c r="N10" s="35"/>
    </row>
    <row r="11" spans="1:14" ht="18" customHeight="1">
      <c r="A11" s="4"/>
      <c r="B11" s="41" t="s">
        <v>10</v>
      </c>
      <c r="C11" s="42"/>
      <c r="D11" s="42"/>
      <c r="E11" s="42"/>
      <c r="F11" s="42"/>
      <c r="G11" s="42"/>
      <c r="H11" s="42"/>
      <c r="I11" s="42"/>
      <c r="J11" s="43"/>
      <c r="K11" s="69"/>
      <c r="L11" s="17"/>
      <c r="M11" s="36"/>
      <c r="N11" s="37"/>
    </row>
    <row r="12" spans="1:14" ht="18" customHeight="1">
      <c r="A12" s="4"/>
      <c r="B12" s="41"/>
      <c r="C12" s="42"/>
      <c r="D12" s="42"/>
      <c r="E12" s="42"/>
      <c r="F12" s="42"/>
      <c r="G12" s="42"/>
      <c r="H12" s="42"/>
      <c r="I12" s="42"/>
      <c r="J12" s="43"/>
      <c r="K12" s="69"/>
      <c r="L12" s="17"/>
      <c r="M12" s="36"/>
      <c r="N12" s="37"/>
    </row>
    <row r="13" spans="1:14" ht="18" customHeight="1">
      <c r="B13" s="3" t="s">
        <v>11</v>
      </c>
      <c r="C13" s="70" t="s">
        <v>12</v>
      </c>
      <c r="D13" s="72"/>
      <c r="E13" s="70" t="s">
        <v>13</v>
      </c>
      <c r="F13" s="72"/>
      <c r="G13" s="70" t="s">
        <v>14</v>
      </c>
      <c r="H13" s="72"/>
      <c r="I13" s="70" t="s">
        <v>15</v>
      </c>
      <c r="J13" s="71"/>
      <c r="K13" s="11"/>
      <c r="L13" s="17"/>
      <c r="M13" s="36"/>
      <c r="N13" s="37"/>
    </row>
    <row r="14" spans="1:14" ht="18" customHeight="1">
      <c r="B14" s="8"/>
      <c r="C14" s="44"/>
      <c r="D14" s="48"/>
      <c r="E14" s="44"/>
      <c r="F14" s="48"/>
      <c r="G14" s="44"/>
      <c r="H14" s="48"/>
      <c r="I14" s="44"/>
      <c r="J14" s="45"/>
      <c r="K14" s="11"/>
      <c r="L14" s="17"/>
      <c r="M14" s="36"/>
      <c r="N14" s="37"/>
    </row>
    <row r="15" spans="1:14" ht="18" customHeight="1">
      <c r="B15" s="6"/>
      <c r="C15" s="49"/>
      <c r="D15" s="50"/>
      <c r="E15" s="49"/>
      <c r="F15" s="50"/>
      <c r="G15" s="49"/>
      <c r="H15" s="50"/>
      <c r="I15" s="51"/>
      <c r="J15" s="52"/>
      <c r="K15" s="13"/>
      <c r="L15" s="19"/>
      <c r="M15" s="32"/>
      <c r="N15" s="33"/>
    </row>
    <row r="16" spans="1:14" ht="18" customHeight="1">
      <c r="B16" s="8"/>
      <c r="C16" s="44"/>
      <c r="D16" s="48"/>
      <c r="E16" s="44"/>
      <c r="F16" s="48"/>
      <c r="G16" s="44"/>
      <c r="H16" s="48"/>
      <c r="I16" s="53"/>
      <c r="J16" s="54"/>
      <c r="K16" s="85" t="s">
        <v>13</v>
      </c>
      <c r="L16" s="16"/>
      <c r="M16" s="34"/>
      <c r="N16" s="35"/>
    </row>
    <row r="17" spans="2:14" ht="18" customHeight="1">
      <c r="B17" s="6"/>
      <c r="C17" s="49"/>
      <c r="D17" s="50"/>
      <c r="E17" s="49"/>
      <c r="F17" s="50"/>
      <c r="G17" s="49"/>
      <c r="H17" s="50"/>
      <c r="I17" s="51"/>
      <c r="J17" s="52"/>
      <c r="K17" s="86"/>
      <c r="L17" s="17"/>
      <c r="M17" s="36"/>
      <c r="N17" s="37"/>
    </row>
    <row r="18" spans="2:14" ht="18" customHeight="1">
      <c r="B18" s="9"/>
      <c r="C18" s="55"/>
      <c r="D18" s="56"/>
      <c r="E18" s="55"/>
      <c r="F18" s="56"/>
      <c r="G18" s="55"/>
      <c r="H18" s="56"/>
      <c r="I18" s="55"/>
      <c r="J18" s="73"/>
      <c r="K18" s="86"/>
      <c r="L18" s="17"/>
      <c r="M18" s="36"/>
      <c r="N18" s="37"/>
    </row>
    <row r="19" spans="2:14" ht="18" customHeight="1">
      <c r="B19" s="6"/>
      <c r="C19" s="49"/>
      <c r="D19" s="50"/>
      <c r="E19" s="49"/>
      <c r="F19" s="50"/>
      <c r="G19" s="49"/>
      <c r="H19" s="50"/>
      <c r="I19" s="51"/>
      <c r="J19" s="52"/>
      <c r="K19" s="11"/>
      <c r="L19" s="17"/>
      <c r="M19" s="36"/>
      <c r="N19" s="37"/>
    </row>
    <row r="20" spans="2:14" ht="18" customHeight="1">
      <c r="B20" s="8"/>
      <c r="C20" s="44"/>
      <c r="D20" s="48"/>
      <c r="E20" s="44"/>
      <c r="F20" s="48"/>
      <c r="G20" s="44"/>
      <c r="H20" s="48"/>
      <c r="I20" s="44"/>
      <c r="J20" s="45"/>
      <c r="K20" s="11"/>
      <c r="L20" s="17"/>
      <c r="M20" s="36"/>
      <c r="N20" s="37"/>
    </row>
    <row r="21" spans="2:14" ht="18" customHeight="1">
      <c r="B21" s="6"/>
      <c r="C21" s="49"/>
      <c r="D21" s="50"/>
      <c r="E21" s="49"/>
      <c r="F21" s="50"/>
      <c r="G21" s="49"/>
      <c r="H21" s="50"/>
      <c r="I21" s="46"/>
      <c r="J21" s="47"/>
      <c r="K21" s="13"/>
      <c r="L21" s="19"/>
      <c r="M21" s="32"/>
      <c r="N21" s="33"/>
    </row>
    <row r="22" spans="2:14" ht="18" customHeight="1">
      <c r="B22" s="8"/>
      <c r="C22" s="44"/>
      <c r="D22" s="48"/>
      <c r="E22" s="44"/>
      <c r="F22" s="48"/>
      <c r="G22" s="44"/>
      <c r="H22" s="48"/>
      <c r="I22" s="44"/>
      <c r="J22" s="45"/>
      <c r="K22" s="85" t="s">
        <v>14</v>
      </c>
      <c r="L22" s="16"/>
      <c r="M22" s="34"/>
      <c r="N22" s="35"/>
    </row>
    <row r="23" spans="2:14" ht="18" customHeight="1">
      <c r="B23" s="6"/>
      <c r="C23" s="49"/>
      <c r="D23" s="50"/>
      <c r="E23" s="49"/>
      <c r="F23" s="50"/>
      <c r="G23" s="49"/>
      <c r="H23" s="50"/>
      <c r="I23" s="51"/>
      <c r="J23" s="52"/>
      <c r="K23" s="86"/>
      <c r="L23" s="17"/>
      <c r="M23" s="36"/>
      <c r="N23" s="37"/>
    </row>
    <row r="24" spans="2:14" ht="18" customHeight="1">
      <c r="B24" s="8"/>
      <c r="C24" s="44"/>
      <c r="D24" s="48"/>
      <c r="E24" s="44"/>
      <c r="F24" s="48"/>
      <c r="G24" s="44"/>
      <c r="H24" s="48"/>
      <c r="I24" s="44"/>
      <c r="J24" s="45"/>
      <c r="K24" s="86"/>
      <c r="L24" s="17"/>
      <c r="M24" s="36"/>
      <c r="N24" s="37"/>
    </row>
    <row r="25" spans="2:14" ht="18" customHeight="1">
      <c r="B25" s="6"/>
      <c r="C25" s="49"/>
      <c r="D25" s="50"/>
      <c r="E25" s="49"/>
      <c r="F25" s="50"/>
      <c r="G25" s="49"/>
      <c r="H25" s="50"/>
      <c r="I25" s="51"/>
      <c r="J25" s="52"/>
      <c r="K25" s="86"/>
      <c r="L25" s="17"/>
      <c r="M25" s="36"/>
      <c r="N25" s="37"/>
    </row>
    <row r="26" spans="2:14" ht="18" customHeight="1">
      <c r="B26" s="8"/>
      <c r="C26" s="44"/>
      <c r="D26" s="48"/>
      <c r="E26" s="44"/>
      <c r="F26" s="48"/>
      <c r="G26" s="44"/>
      <c r="H26" s="48"/>
      <c r="I26" s="44"/>
      <c r="J26" s="45"/>
      <c r="K26" s="11"/>
      <c r="L26" s="17"/>
      <c r="M26" s="36"/>
      <c r="N26" s="37"/>
    </row>
    <row r="27" spans="2:14" ht="18" customHeight="1">
      <c r="B27" s="6"/>
      <c r="C27" s="49"/>
      <c r="D27" s="50"/>
      <c r="E27" s="49"/>
      <c r="F27" s="50"/>
      <c r="G27" s="49"/>
      <c r="H27" s="50"/>
      <c r="I27" s="51"/>
      <c r="J27" s="52"/>
      <c r="K27" s="13"/>
      <c r="L27" s="19"/>
      <c r="M27" s="32"/>
      <c r="N27" s="33"/>
    </row>
    <row r="28" spans="2:14" ht="18" customHeight="1">
      <c r="B28" s="8"/>
      <c r="C28" s="44"/>
      <c r="D28" s="48"/>
      <c r="E28" s="44"/>
      <c r="F28" s="48"/>
      <c r="G28" s="44"/>
      <c r="H28" s="48"/>
      <c r="I28" s="44"/>
      <c r="J28" s="45"/>
      <c r="K28" s="68" t="s">
        <v>15</v>
      </c>
      <c r="L28" s="16"/>
      <c r="M28" s="34"/>
      <c r="N28" s="35"/>
    </row>
    <row r="29" spans="2:14" ht="18" customHeight="1">
      <c r="B29" s="6"/>
      <c r="C29" s="49"/>
      <c r="D29" s="50"/>
      <c r="E29" s="49"/>
      <c r="F29" s="50"/>
      <c r="G29" s="49"/>
      <c r="H29" s="50"/>
      <c r="I29" s="49"/>
      <c r="J29" s="67"/>
      <c r="K29" s="69"/>
      <c r="L29" s="17"/>
      <c r="M29" s="36"/>
      <c r="N29" s="37"/>
    </row>
    <row r="30" spans="2:14" ht="18" customHeight="1">
      <c r="B30" s="94" t="s">
        <v>27</v>
      </c>
      <c r="C30" s="95"/>
      <c r="D30" s="95"/>
      <c r="E30" s="95"/>
      <c r="F30" s="95"/>
      <c r="G30" s="95"/>
      <c r="H30" s="95"/>
      <c r="I30" s="95"/>
      <c r="J30" s="96"/>
      <c r="K30" s="69"/>
      <c r="L30" s="17"/>
      <c r="M30" s="36"/>
      <c r="N30" s="37"/>
    </row>
    <row r="31" spans="2:14" ht="18" customHeight="1">
      <c r="B31" s="97"/>
      <c r="C31" s="98"/>
      <c r="D31" s="98"/>
      <c r="E31" s="98"/>
      <c r="F31" s="98"/>
      <c r="G31" s="98"/>
      <c r="H31" s="98"/>
      <c r="I31" s="98"/>
      <c r="J31" s="99"/>
      <c r="K31" s="14"/>
      <c r="L31" s="17"/>
      <c r="M31" s="36"/>
      <c r="N31" s="37"/>
    </row>
    <row r="32" spans="2:14" ht="18" customHeight="1">
      <c r="B32" s="97"/>
      <c r="C32" s="98"/>
      <c r="D32" s="98"/>
      <c r="E32" s="98"/>
      <c r="F32" s="98"/>
      <c r="G32" s="98"/>
      <c r="H32" s="98"/>
      <c r="I32" s="98"/>
      <c r="J32" s="99"/>
      <c r="K32" s="14"/>
      <c r="L32" s="17"/>
      <c r="M32" s="36"/>
      <c r="N32" s="37"/>
    </row>
    <row r="33" spans="2:14" ht="18" customHeight="1">
      <c r="B33" s="7"/>
      <c r="C33" s="57"/>
      <c r="D33" s="58"/>
      <c r="E33" s="57"/>
      <c r="F33" s="58"/>
      <c r="G33" s="57"/>
      <c r="H33" s="58"/>
      <c r="I33" s="65"/>
      <c r="J33" s="66"/>
      <c r="K33" s="15"/>
      <c r="L33" s="20"/>
      <c r="M33" s="74"/>
      <c r="N33" s="75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5" priority="5" stopIfTrue="1">
      <formula>DAY(C4)&gt;8</formula>
    </cfRule>
  </conditionalFormatting>
  <conditionalFormatting sqref="C8:I10">
    <cfRule type="expression" dxfId="4" priority="4" stopIfTrue="1">
      <formula>AND(DAY(C8)&gt;=1,DAY(C8)&lt;=15)</formula>
    </cfRule>
  </conditionalFormatting>
  <conditionalFormatting sqref="C4:I9">
    <cfRule type="expression" dxfId="3" priority="6">
      <formula>VLOOKUP(DAY(C4),DíasDeTareas,1,FALSE)=DAY(C4)</formula>
    </cfRule>
  </conditionalFormatting>
  <conditionalFormatting sqref="B14:J29 B33:J33">
    <cfRule type="expression" dxfId="2" priority="3">
      <formula>B14&lt;&gt;""</formula>
    </cfRule>
  </conditionalFormatting>
  <conditionalFormatting sqref="B30">
    <cfRule type="expression" dxfId="1" priority="2">
      <formula>B30&lt;&gt;""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B4" zoomScaleNormal="100" zoomScalePageLayoutView="84" workbookViewId="0">
      <selection activeCell="B33" sqref="B33:J33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38" t="s">
        <v>25</v>
      </c>
      <c r="C2" s="21"/>
      <c r="D2" s="21"/>
      <c r="E2" s="21"/>
      <c r="F2" s="21"/>
      <c r="G2" s="21"/>
      <c r="H2" s="21"/>
      <c r="I2" s="21"/>
      <c r="J2" s="22"/>
      <c r="K2" s="76" t="s">
        <v>2</v>
      </c>
      <c r="L2" s="77">
        <v>2013</v>
      </c>
      <c r="M2" s="77"/>
      <c r="N2" s="25"/>
    </row>
    <row r="3" spans="1:14" ht="21" customHeight="1">
      <c r="A3" s="4"/>
      <c r="B3" s="3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8"/>
      <c r="L3" s="79"/>
      <c r="M3" s="79"/>
      <c r="N3" s="26"/>
    </row>
    <row r="4" spans="1:14" ht="18" customHeight="1">
      <c r="A4" s="4"/>
      <c r="B4" s="39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10">
        <f>IF(DAY(FebDom1)=1,FebDom1-1,FebDom1+6)</f>
        <v>43498</v>
      </c>
      <c r="I4" s="10">
        <f>IF(DAY(FebDom1)=1,FebDom1,FebDom1+7)</f>
        <v>43499</v>
      </c>
      <c r="J4" s="5"/>
      <c r="K4" s="80" t="s">
        <v>11</v>
      </c>
      <c r="L4" s="16"/>
      <c r="M4" s="81"/>
      <c r="N4" s="82"/>
    </row>
    <row r="5" spans="1:14" ht="18" customHeight="1">
      <c r="A5" s="4"/>
      <c r="B5" s="39"/>
      <c r="C5" s="10">
        <f>IF(DAY(FebDom1)=1,FebDom1+1,FebDom1+8)</f>
        <v>43500</v>
      </c>
      <c r="D5" s="10">
        <f>IF(DAY(FebDom1)=1,FebDom1+2,FebDom1+9)</f>
        <v>43501</v>
      </c>
      <c r="E5" s="10">
        <f>IF(DAY(FebDom1)=1,FebDom1+3,FebDom1+10)</f>
        <v>43502</v>
      </c>
      <c r="F5" s="10">
        <f>IF(DAY(FebDom1)=1,FebDom1+4,FebDom1+11)</f>
        <v>43503</v>
      </c>
      <c r="G5" s="10">
        <f>IF(DAY(FebDom1)=1,FebDom1+5,FebDom1+12)</f>
        <v>43504</v>
      </c>
      <c r="H5" s="10">
        <f>IF(DAY(FebDom1)=1,FebDom1+6,FebDom1+13)</f>
        <v>43505</v>
      </c>
      <c r="I5" s="10">
        <f>IF(DAY(FebDom1)=1,FebDom1+7,FebDom1+14)</f>
        <v>43506</v>
      </c>
      <c r="J5" s="5"/>
      <c r="K5" s="69"/>
      <c r="L5" s="17"/>
    </row>
    <row r="6" spans="1:14" ht="18" customHeight="1">
      <c r="A6" s="4"/>
      <c r="B6" s="39"/>
      <c r="C6" s="10">
        <f>IF(DAY(FebDom1)=1,FebDom1+8,FebDom1+15)</f>
        <v>43507</v>
      </c>
      <c r="D6" s="10">
        <f>IF(DAY(FebDom1)=1,FebDom1+9,FebDom1+16)</f>
        <v>43508</v>
      </c>
      <c r="E6" s="10">
        <f>IF(DAY(FebDom1)=1,FebDom1+10,FebDom1+17)</f>
        <v>43509</v>
      </c>
      <c r="F6" s="10">
        <f>IF(DAY(FebDom1)=1,FebDom1+11,FebDom1+18)</f>
        <v>43510</v>
      </c>
      <c r="G6" s="10">
        <f>IF(DAY(FebDom1)=1,FebDom1+12,FebDom1+19)</f>
        <v>43511</v>
      </c>
      <c r="H6" s="10">
        <f>IF(DAY(FebDom1)=1,FebDom1+13,FebDom1+20)</f>
        <v>43512</v>
      </c>
      <c r="I6" s="10">
        <f>IF(DAY(FebDom1)=1,FebDom1+14,FebDom1+21)</f>
        <v>43513</v>
      </c>
      <c r="J6" s="5"/>
      <c r="K6" s="69"/>
      <c r="L6" s="17"/>
      <c r="M6" s="36"/>
      <c r="N6" s="37"/>
    </row>
    <row r="7" spans="1:14" ht="18" customHeight="1">
      <c r="A7" s="4"/>
      <c r="B7" s="39"/>
      <c r="C7" s="10">
        <f>IF(DAY(FebDom1)=1,FebDom1+15,FebDom1+22)</f>
        <v>43514</v>
      </c>
      <c r="D7" s="10">
        <f>IF(DAY(FebDom1)=1,FebDom1+16,FebDom1+23)</f>
        <v>43515</v>
      </c>
      <c r="E7" s="10">
        <f>IF(DAY(FebDom1)=1,FebDom1+17,FebDom1+24)</f>
        <v>43516</v>
      </c>
      <c r="F7" s="10">
        <f>IF(DAY(FebDom1)=1,FebDom1+18,FebDom1+25)</f>
        <v>43517</v>
      </c>
      <c r="G7" s="10">
        <f>IF(DAY(FebDom1)=1,FebDom1+19,FebDom1+26)</f>
        <v>43518</v>
      </c>
      <c r="H7" s="10">
        <f>IF(DAY(FebDom1)=1,FebDom1+20,FebDom1+27)</f>
        <v>43519</v>
      </c>
      <c r="I7" s="10">
        <f>IF(DAY(FebDom1)=1,FebDom1+21,FebDom1+28)</f>
        <v>43520</v>
      </c>
      <c r="J7" s="5"/>
      <c r="K7" s="11"/>
      <c r="L7" s="17"/>
      <c r="M7" s="36"/>
      <c r="N7" s="37"/>
    </row>
    <row r="8" spans="1:14" ht="18.75" customHeight="1">
      <c r="A8" s="4"/>
      <c r="B8" s="39"/>
      <c r="C8" s="10">
        <f>IF(DAY(FebDom1)=1,FebDom1+22,FebDom1+29)</f>
        <v>43521</v>
      </c>
      <c r="D8" s="10">
        <f>IF(DAY(FebDom1)=1,FebDom1+23,FebDom1+30)</f>
        <v>43522</v>
      </c>
      <c r="E8" s="10">
        <f>IF(DAY(FebDom1)=1,FebDom1+24,FebDom1+31)</f>
        <v>43523</v>
      </c>
      <c r="F8" s="10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36"/>
      <c r="N8" s="37"/>
    </row>
    <row r="9" spans="1:14" ht="18" customHeight="1">
      <c r="A9" s="4"/>
      <c r="B9" s="39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32"/>
      <c r="N9" s="33"/>
    </row>
    <row r="10" spans="1:14" ht="18" customHeight="1">
      <c r="A10" s="4"/>
      <c r="B10" s="40"/>
      <c r="C10" s="23"/>
      <c r="D10" s="23"/>
      <c r="E10" s="23"/>
      <c r="F10" s="23"/>
      <c r="G10" s="23"/>
      <c r="H10" s="23"/>
      <c r="I10" s="23"/>
      <c r="J10" s="24"/>
      <c r="K10" s="68" t="s">
        <v>12</v>
      </c>
      <c r="L10" s="16"/>
      <c r="M10" s="34"/>
      <c r="N10" s="35"/>
    </row>
    <row r="11" spans="1:14" ht="18" customHeight="1">
      <c r="A11" s="4"/>
      <c r="B11" s="41" t="s">
        <v>10</v>
      </c>
      <c r="C11" s="42"/>
      <c r="D11" s="42"/>
      <c r="E11" s="42"/>
      <c r="F11" s="42"/>
      <c r="G11" s="42"/>
      <c r="H11" s="42"/>
      <c r="I11" s="42"/>
      <c r="J11" s="43"/>
      <c r="K11" s="69"/>
      <c r="L11" s="17"/>
      <c r="M11" s="36"/>
      <c r="N11" s="37"/>
    </row>
    <row r="12" spans="1:14" ht="18" customHeight="1">
      <c r="A12" s="4"/>
      <c r="B12" s="41"/>
      <c r="C12" s="42"/>
      <c r="D12" s="42"/>
      <c r="E12" s="42"/>
      <c r="F12" s="42"/>
      <c r="G12" s="42"/>
      <c r="H12" s="42"/>
      <c r="I12" s="42"/>
      <c r="J12" s="43"/>
      <c r="K12" s="69"/>
      <c r="L12" s="17"/>
      <c r="M12" s="36"/>
      <c r="N12" s="37"/>
    </row>
    <row r="13" spans="1:14" ht="18" customHeight="1">
      <c r="B13" s="3" t="s">
        <v>11</v>
      </c>
      <c r="C13" s="70" t="s">
        <v>12</v>
      </c>
      <c r="D13" s="72"/>
      <c r="E13" s="70" t="s">
        <v>13</v>
      </c>
      <c r="F13" s="72"/>
      <c r="G13" s="70" t="s">
        <v>14</v>
      </c>
      <c r="H13" s="72"/>
      <c r="I13" s="70" t="s">
        <v>15</v>
      </c>
      <c r="J13" s="71"/>
      <c r="K13" s="11"/>
      <c r="L13" s="17"/>
      <c r="M13" s="36"/>
      <c r="N13" s="37"/>
    </row>
    <row r="14" spans="1:14" ht="18" customHeight="1">
      <c r="B14" s="8"/>
      <c r="C14" s="44"/>
      <c r="D14" s="48"/>
      <c r="E14" s="44"/>
      <c r="F14" s="48"/>
      <c r="G14" s="44"/>
      <c r="H14" s="48"/>
      <c r="I14" s="44"/>
      <c r="J14" s="45"/>
      <c r="K14" s="11"/>
      <c r="L14" s="17"/>
      <c r="M14" s="36"/>
      <c r="N14" s="37"/>
    </row>
    <row r="15" spans="1:14" ht="18" customHeight="1">
      <c r="B15" s="6"/>
      <c r="C15" s="49"/>
      <c r="D15" s="50"/>
      <c r="E15" s="49"/>
      <c r="F15" s="50"/>
      <c r="G15" s="49"/>
      <c r="H15" s="50"/>
      <c r="I15" s="51"/>
      <c r="J15" s="52"/>
      <c r="K15" s="13"/>
      <c r="L15" s="19"/>
      <c r="M15" s="32"/>
      <c r="N15" s="33"/>
    </row>
    <row r="16" spans="1:14" ht="18" customHeight="1">
      <c r="B16" s="8"/>
      <c r="C16" s="44"/>
      <c r="D16" s="48"/>
      <c r="E16" s="44"/>
      <c r="F16" s="48"/>
      <c r="G16" s="44"/>
      <c r="H16" s="48"/>
      <c r="I16" s="53"/>
      <c r="J16" s="54"/>
      <c r="K16" s="85" t="s">
        <v>13</v>
      </c>
      <c r="L16" s="16"/>
      <c r="M16" s="34"/>
      <c r="N16" s="35"/>
    </row>
    <row r="17" spans="2:14" ht="18" customHeight="1">
      <c r="B17" s="6"/>
      <c r="C17" s="49"/>
      <c r="D17" s="50"/>
      <c r="E17" s="49"/>
      <c r="F17" s="50"/>
      <c r="G17" s="49"/>
      <c r="H17" s="50"/>
      <c r="I17" s="51"/>
      <c r="J17" s="52"/>
      <c r="K17" s="86"/>
      <c r="L17" s="17"/>
      <c r="M17" s="36"/>
      <c r="N17" s="37"/>
    </row>
    <row r="18" spans="2:14" ht="18" customHeight="1">
      <c r="B18" s="9"/>
      <c r="C18" s="55"/>
      <c r="D18" s="56"/>
      <c r="E18" s="55"/>
      <c r="F18" s="56"/>
      <c r="G18" s="55"/>
      <c r="H18" s="56"/>
      <c r="I18" s="55"/>
      <c r="J18" s="73"/>
      <c r="K18" s="86"/>
      <c r="L18" s="17"/>
      <c r="M18" s="36"/>
      <c r="N18" s="37"/>
    </row>
    <row r="19" spans="2:14" ht="18" customHeight="1">
      <c r="B19" s="6"/>
      <c r="C19" s="49"/>
      <c r="D19" s="50"/>
      <c r="E19" s="49"/>
      <c r="F19" s="50"/>
      <c r="G19" s="49"/>
      <c r="H19" s="50"/>
      <c r="I19" s="51"/>
      <c r="J19" s="52"/>
      <c r="K19" s="11"/>
      <c r="L19" s="17"/>
      <c r="M19" s="36"/>
      <c r="N19" s="37"/>
    </row>
    <row r="20" spans="2:14" ht="18" customHeight="1">
      <c r="B20" s="8"/>
      <c r="C20" s="44"/>
      <c r="D20" s="48"/>
      <c r="E20" s="44"/>
      <c r="F20" s="48"/>
      <c r="G20" s="44"/>
      <c r="H20" s="48"/>
      <c r="I20" s="44"/>
      <c r="J20" s="45"/>
      <c r="K20" s="11"/>
      <c r="L20" s="17"/>
      <c r="M20" s="36"/>
      <c r="N20" s="37"/>
    </row>
    <row r="21" spans="2:14" ht="18" customHeight="1">
      <c r="B21" s="6"/>
      <c r="C21" s="49"/>
      <c r="D21" s="50"/>
      <c r="E21" s="49"/>
      <c r="F21" s="50"/>
      <c r="G21" s="49"/>
      <c r="H21" s="50"/>
      <c r="I21" s="46"/>
      <c r="J21" s="47"/>
      <c r="K21" s="13"/>
      <c r="L21" s="19"/>
      <c r="M21" s="32"/>
      <c r="N21" s="33"/>
    </row>
    <row r="22" spans="2:14" ht="18" customHeight="1">
      <c r="B22" s="8"/>
      <c r="C22" s="44"/>
      <c r="D22" s="48"/>
      <c r="E22" s="44"/>
      <c r="F22" s="48"/>
      <c r="G22" s="44"/>
      <c r="H22" s="48"/>
      <c r="I22" s="44"/>
      <c r="J22" s="45"/>
      <c r="K22" s="85" t="s">
        <v>14</v>
      </c>
      <c r="L22" s="16"/>
      <c r="M22" s="34"/>
      <c r="N22" s="35"/>
    </row>
    <row r="23" spans="2:14" ht="18" customHeight="1">
      <c r="B23" s="6"/>
      <c r="C23" s="49"/>
      <c r="D23" s="50"/>
      <c r="E23" s="49"/>
      <c r="F23" s="50"/>
      <c r="G23" s="49"/>
      <c r="H23" s="50"/>
      <c r="I23" s="51"/>
      <c r="J23" s="52"/>
      <c r="K23" s="86"/>
      <c r="L23" s="17"/>
      <c r="M23" s="36"/>
      <c r="N23" s="37"/>
    </row>
    <row r="24" spans="2:14" ht="18" customHeight="1">
      <c r="B24" s="8"/>
      <c r="C24" s="44"/>
      <c r="D24" s="48"/>
      <c r="E24" s="44"/>
      <c r="F24" s="48"/>
      <c r="G24" s="44"/>
      <c r="H24" s="48"/>
      <c r="I24" s="44"/>
      <c r="J24" s="45"/>
      <c r="K24" s="86"/>
      <c r="L24" s="17"/>
      <c r="M24" s="36"/>
      <c r="N24" s="37"/>
    </row>
    <row r="25" spans="2:14" ht="18" customHeight="1">
      <c r="B25" s="6"/>
      <c r="C25" s="49"/>
      <c r="D25" s="50"/>
      <c r="E25" s="49"/>
      <c r="F25" s="50"/>
      <c r="G25" s="49"/>
      <c r="H25" s="50"/>
      <c r="I25" s="51"/>
      <c r="J25" s="52"/>
      <c r="K25" s="86"/>
      <c r="L25" s="17"/>
      <c r="M25" s="36"/>
      <c r="N25" s="37"/>
    </row>
    <row r="26" spans="2:14" ht="18" customHeight="1">
      <c r="B26" s="8"/>
      <c r="C26" s="44"/>
      <c r="D26" s="48"/>
      <c r="E26" s="44"/>
      <c r="F26" s="48"/>
      <c r="G26" s="44"/>
      <c r="H26" s="48"/>
      <c r="I26" s="44"/>
      <c r="J26" s="45"/>
      <c r="K26" s="11"/>
      <c r="L26" s="17"/>
      <c r="M26" s="36"/>
      <c r="N26" s="37"/>
    </row>
    <row r="27" spans="2:14" ht="18" customHeight="1">
      <c r="B27" s="6"/>
      <c r="C27" s="49"/>
      <c r="D27" s="50"/>
      <c r="E27" s="49"/>
      <c r="F27" s="50"/>
      <c r="G27" s="49"/>
      <c r="H27" s="50"/>
      <c r="I27" s="51"/>
      <c r="J27" s="52"/>
      <c r="K27" s="13"/>
      <c r="L27" s="19"/>
      <c r="M27" s="32"/>
      <c r="N27" s="33"/>
    </row>
    <row r="28" spans="2:14" ht="18" customHeight="1">
      <c r="B28" s="8"/>
      <c r="C28" s="44"/>
      <c r="D28" s="48"/>
      <c r="E28" s="44"/>
      <c r="F28" s="48"/>
      <c r="G28" s="44"/>
      <c r="H28" s="48"/>
      <c r="I28" s="44"/>
      <c r="J28" s="45"/>
      <c r="K28" s="68" t="s">
        <v>15</v>
      </c>
      <c r="L28" s="16"/>
      <c r="M28" s="34"/>
      <c r="N28" s="35"/>
    </row>
    <row r="29" spans="2:14" ht="18" customHeight="1">
      <c r="B29" s="6"/>
      <c r="C29" s="49"/>
      <c r="D29" s="50"/>
      <c r="E29" s="49"/>
      <c r="F29" s="50"/>
      <c r="G29" s="49"/>
      <c r="H29" s="50"/>
      <c r="I29" s="49"/>
      <c r="J29" s="67"/>
      <c r="K29" s="69"/>
      <c r="L29" s="17"/>
      <c r="M29" s="36"/>
      <c r="N29" s="37"/>
    </row>
    <row r="30" spans="2:14" ht="18" customHeight="1">
      <c r="B30" s="59"/>
      <c r="C30" s="60"/>
      <c r="D30" s="60"/>
      <c r="E30" s="60"/>
      <c r="F30" s="60"/>
      <c r="G30" s="60"/>
      <c r="H30" s="60"/>
      <c r="I30" s="60"/>
      <c r="J30" s="61"/>
      <c r="K30" s="69"/>
      <c r="L30" s="17"/>
      <c r="M30" s="36"/>
      <c r="N30" s="37"/>
    </row>
    <row r="31" spans="2:14" ht="31.5" customHeight="1">
      <c r="B31" s="62"/>
      <c r="C31" s="63"/>
      <c r="D31" s="63"/>
      <c r="E31" s="63"/>
      <c r="F31" s="63"/>
      <c r="G31" s="63"/>
      <c r="H31" s="63"/>
      <c r="I31" s="63"/>
      <c r="J31" s="64"/>
      <c r="K31" s="14"/>
      <c r="L31" s="17"/>
      <c r="M31" s="87"/>
      <c r="N31" s="88"/>
    </row>
    <row r="32" spans="2:14" ht="28.5" customHeight="1">
      <c r="B32" s="62"/>
      <c r="C32" s="63"/>
      <c r="D32" s="63"/>
      <c r="E32" s="63"/>
      <c r="F32" s="63"/>
      <c r="G32" s="63"/>
      <c r="H32" s="63"/>
      <c r="I32" s="63"/>
      <c r="J32" s="64"/>
      <c r="K32" s="14"/>
      <c r="L32" s="17"/>
      <c r="M32" s="87"/>
      <c r="N32" s="88"/>
    </row>
    <row r="33" spans="2:14" ht="18" customHeight="1">
      <c r="B33" s="89"/>
      <c r="C33" s="90"/>
      <c r="D33" s="90"/>
      <c r="E33" s="90"/>
      <c r="F33" s="90"/>
      <c r="G33" s="90"/>
      <c r="H33" s="90"/>
      <c r="I33" s="90"/>
      <c r="J33" s="91"/>
      <c r="K33" s="15"/>
      <c r="L33" s="20"/>
      <c r="M33" s="74"/>
      <c r="N33" s="75"/>
    </row>
  </sheetData>
  <mergeCells count="107"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33:N33"/>
    <mergeCell ref="M31:N31"/>
    <mergeCell ref="M32:N32"/>
    <mergeCell ref="B30:J32"/>
    <mergeCell ref="M29:N29"/>
    <mergeCell ref="M30:N30"/>
    <mergeCell ref="B33:J33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</mergeCells>
  <conditionalFormatting sqref="C4:H4">
    <cfRule type="expression" dxfId="58" priority="4" stopIfTrue="1">
      <formula>DAY(C4)&gt;8</formula>
    </cfRule>
  </conditionalFormatting>
  <conditionalFormatting sqref="C8:I10">
    <cfRule type="expression" dxfId="57" priority="3" stopIfTrue="1">
      <formula>AND(DAY(C8)&gt;=1,DAY(C8)&lt;=15)</formula>
    </cfRule>
  </conditionalFormatting>
  <conditionalFormatting sqref="C4:I9">
    <cfRule type="expression" dxfId="56" priority="5">
      <formula>VLOOKUP(DAY(C4),DíasDeTareas,1,FALSE)=DAY(C4)</formula>
    </cfRule>
  </conditionalFormatting>
  <conditionalFormatting sqref="B14:J29 B33">
    <cfRule type="expression" dxfId="55" priority="2">
      <formula>B14&lt;&gt;""</formula>
    </cfRule>
  </conditionalFormatting>
  <conditionalFormatting sqref="B30">
    <cfRule type="expression" dxfId="54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B1" zoomScaleNormal="100" zoomScalePageLayoutView="84" workbookViewId="0">
      <selection activeCell="M16" sqref="M16:N16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38" t="s">
        <v>24</v>
      </c>
      <c r="C2" s="21"/>
      <c r="D2" s="21"/>
      <c r="E2" s="21"/>
      <c r="F2" s="21"/>
      <c r="G2" s="21"/>
      <c r="H2" s="21"/>
      <c r="I2" s="21"/>
      <c r="J2" s="22"/>
      <c r="K2" s="76" t="s">
        <v>2</v>
      </c>
      <c r="L2" s="77">
        <v>2013</v>
      </c>
      <c r="M2" s="77"/>
      <c r="N2" s="25"/>
    </row>
    <row r="3" spans="1:14" ht="21" customHeight="1">
      <c r="A3" s="4"/>
      <c r="B3" s="3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8"/>
      <c r="L3" s="79"/>
      <c r="M3" s="79"/>
      <c r="N3" s="26"/>
    </row>
    <row r="4" spans="1:14" ht="18" customHeight="1">
      <c r="A4" s="4"/>
      <c r="B4" s="39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10">
        <f>IF(DAY(MarDom1)=1,MarDom1-2,MarDom1+5)</f>
        <v>43525</v>
      </c>
      <c r="H4" s="10">
        <f>IF(DAY(MarDom1)=1,MarDom1-1,MarDom1+6)</f>
        <v>43526</v>
      </c>
      <c r="I4" s="10">
        <f>IF(DAY(MarDom1)=1,MarDom1,MarDom1+7)</f>
        <v>43527</v>
      </c>
      <c r="J4" s="5"/>
      <c r="K4" s="80" t="s">
        <v>11</v>
      </c>
      <c r="L4" s="16"/>
      <c r="M4" s="81"/>
      <c r="N4" s="82"/>
    </row>
    <row r="5" spans="1:14" ht="18" customHeight="1">
      <c r="A5" s="4"/>
      <c r="B5" s="39"/>
      <c r="C5" s="10">
        <f>IF(DAY(MarDom1)=1,MarDom1+1,MarDom1+8)</f>
        <v>43528</v>
      </c>
      <c r="D5" s="10">
        <f>IF(DAY(MarDom1)=1,MarDom1+2,MarDom1+9)</f>
        <v>43529</v>
      </c>
      <c r="E5" s="10">
        <f>IF(DAY(MarDom1)=1,MarDom1+3,MarDom1+10)</f>
        <v>43530</v>
      </c>
      <c r="F5" s="10">
        <f>IF(DAY(MarDom1)=1,MarDom1+4,MarDom1+11)</f>
        <v>43531</v>
      </c>
      <c r="G5" s="10">
        <f>IF(DAY(MarDom1)=1,MarDom1+5,MarDom1+12)</f>
        <v>43532</v>
      </c>
      <c r="H5" s="10">
        <f>IF(DAY(MarDom1)=1,MarDom1+6,MarDom1+13)</f>
        <v>43533</v>
      </c>
      <c r="I5" s="10">
        <f>IF(DAY(MarDom1)=1,MarDom1+7,MarDom1+14)</f>
        <v>43534</v>
      </c>
      <c r="J5" s="5"/>
      <c r="K5" s="69"/>
      <c r="L5" s="17"/>
      <c r="M5" s="36"/>
      <c r="N5" s="37"/>
    </row>
    <row r="6" spans="1:14" ht="18" customHeight="1">
      <c r="A6" s="4"/>
      <c r="B6" s="39"/>
      <c r="C6" s="10">
        <f>IF(DAY(MarDom1)=1,MarDom1+8,MarDom1+15)</f>
        <v>43535</v>
      </c>
      <c r="D6" s="10">
        <f>IF(DAY(MarDom1)=1,MarDom1+9,MarDom1+16)</f>
        <v>43536</v>
      </c>
      <c r="E6" s="10">
        <f>IF(DAY(MarDom1)=1,MarDom1+10,MarDom1+17)</f>
        <v>43537</v>
      </c>
      <c r="F6" s="10">
        <f>IF(DAY(MarDom1)=1,MarDom1+11,MarDom1+18)</f>
        <v>43538</v>
      </c>
      <c r="G6" s="10">
        <f>IF(DAY(MarDom1)=1,MarDom1+12,MarDom1+19)</f>
        <v>43539</v>
      </c>
      <c r="H6" s="10">
        <f>IF(DAY(MarDom1)=1,MarDom1+13,MarDom1+20)</f>
        <v>43540</v>
      </c>
      <c r="I6" s="10">
        <f>IF(DAY(MarDom1)=1,MarDom1+14,MarDom1+21)</f>
        <v>43541</v>
      </c>
      <c r="J6" s="5"/>
      <c r="K6" s="69"/>
      <c r="L6" s="17"/>
      <c r="M6" s="36"/>
      <c r="N6" s="37"/>
    </row>
    <row r="7" spans="1:14" ht="18" customHeight="1">
      <c r="A7" s="4"/>
      <c r="B7" s="39"/>
      <c r="C7" s="10">
        <f>IF(DAY(MarDom1)=1,MarDom1+15,MarDom1+22)</f>
        <v>43542</v>
      </c>
      <c r="D7" s="10">
        <f>IF(DAY(MarDom1)=1,MarDom1+16,MarDom1+23)</f>
        <v>43543</v>
      </c>
      <c r="E7" s="10">
        <f>IF(DAY(MarDom1)=1,MarDom1+17,MarDom1+24)</f>
        <v>43544</v>
      </c>
      <c r="F7" s="10">
        <f>IF(DAY(MarDom1)=1,MarDom1+18,MarDom1+25)</f>
        <v>43545</v>
      </c>
      <c r="G7" s="10">
        <f>IF(DAY(MarDom1)=1,MarDom1+19,MarDom1+26)</f>
        <v>43546</v>
      </c>
      <c r="H7" s="10">
        <f>IF(DAY(MarDom1)=1,MarDom1+20,MarDom1+27)</f>
        <v>43547</v>
      </c>
      <c r="I7" s="10">
        <f>IF(DAY(MarDom1)=1,MarDom1+21,MarDom1+28)</f>
        <v>43548</v>
      </c>
      <c r="J7" s="5"/>
      <c r="K7" s="11"/>
      <c r="L7" s="17"/>
      <c r="M7" s="36"/>
      <c r="N7" s="37"/>
    </row>
    <row r="8" spans="1:14" ht="18.75" customHeight="1">
      <c r="A8" s="4"/>
      <c r="B8" s="39"/>
      <c r="C8" s="10">
        <f>IF(DAY(MarDom1)=1,MarDom1+22,MarDom1+29)</f>
        <v>43549</v>
      </c>
      <c r="D8" s="10">
        <f>IF(DAY(MarDom1)=1,MarDom1+23,MarDom1+30)</f>
        <v>43550</v>
      </c>
      <c r="E8" s="10">
        <f>IF(DAY(MarDom1)=1,MarDom1+24,MarDom1+31)</f>
        <v>43551</v>
      </c>
      <c r="F8" s="10">
        <f>IF(DAY(MarDom1)=1,MarDom1+25,MarDom1+32)</f>
        <v>43552</v>
      </c>
      <c r="G8" s="10">
        <f>IF(DAY(MarDom1)=1,MarDom1+26,MarDom1+33)</f>
        <v>43553</v>
      </c>
      <c r="H8" s="10">
        <f>IF(DAY(MarDom1)=1,MarDom1+27,MarDom1+34)</f>
        <v>43554</v>
      </c>
      <c r="I8" s="10">
        <f>IF(DAY(MarDom1)=1,MarDom1+28,MarDom1+35)</f>
        <v>43555</v>
      </c>
      <c r="J8" s="5"/>
      <c r="K8" s="11"/>
      <c r="L8" s="17"/>
      <c r="M8" s="36"/>
      <c r="N8" s="37"/>
    </row>
    <row r="9" spans="1:14" ht="18" customHeight="1">
      <c r="A9" s="4"/>
      <c r="B9" s="39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32"/>
      <c r="N9" s="33"/>
    </row>
    <row r="10" spans="1:14" ht="18" customHeight="1">
      <c r="A10" s="4"/>
      <c r="B10" s="40"/>
      <c r="C10" s="23"/>
      <c r="D10" s="23"/>
      <c r="E10" s="23"/>
      <c r="F10" s="23"/>
      <c r="G10" s="23"/>
      <c r="H10" s="23"/>
      <c r="I10" s="23"/>
      <c r="J10" s="24"/>
      <c r="K10" s="68" t="s">
        <v>12</v>
      </c>
      <c r="L10" s="16"/>
      <c r="M10" s="34"/>
      <c r="N10" s="35"/>
    </row>
    <row r="11" spans="1:14" ht="18" customHeight="1">
      <c r="A11" s="4"/>
      <c r="B11" s="41" t="s">
        <v>10</v>
      </c>
      <c r="C11" s="42"/>
      <c r="D11" s="42"/>
      <c r="E11" s="42"/>
      <c r="F11" s="42"/>
      <c r="G11" s="42"/>
      <c r="H11" s="42"/>
      <c r="I11" s="42"/>
      <c r="J11" s="43"/>
      <c r="K11" s="69"/>
      <c r="L11" s="17"/>
      <c r="M11" s="36"/>
      <c r="N11" s="37"/>
    </row>
    <row r="12" spans="1:14" ht="18" customHeight="1">
      <c r="A12" s="4"/>
      <c r="B12" s="41"/>
      <c r="C12" s="42"/>
      <c r="D12" s="42"/>
      <c r="E12" s="42"/>
      <c r="F12" s="42"/>
      <c r="G12" s="42"/>
      <c r="H12" s="42"/>
      <c r="I12" s="42"/>
      <c r="J12" s="43"/>
      <c r="K12" s="69"/>
      <c r="L12" s="17"/>
      <c r="M12" s="36"/>
      <c r="N12" s="37"/>
    </row>
    <row r="13" spans="1:14" ht="18" customHeight="1">
      <c r="B13" s="3" t="s">
        <v>11</v>
      </c>
      <c r="C13" s="70" t="s">
        <v>12</v>
      </c>
      <c r="D13" s="72"/>
      <c r="E13" s="70" t="s">
        <v>13</v>
      </c>
      <c r="F13" s="72"/>
      <c r="G13" s="70" t="s">
        <v>14</v>
      </c>
      <c r="H13" s="72"/>
      <c r="I13" s="70" t="s">
        <v>15</v>
      </c>
      <c r="J13" s="71"/>
      <c r="K13" s="11"/>
      <c r="L13" s="17"/>
      <c r="M13" s="36"/>
      <c r="N13" s="37"/>
    </row>
    <row r="14" spans="1:14" ht="18" customHeight="1">
      <c r="B14" s="8"/>
      <c r="C14" s="44"/>
      <c r="D14" s="48"/>
      <c r="E14" s="44"/>
      <c r="F14" s="48"/>
      <c r="G14" s="44"/>
      <c r="H14" s="48"/>
      <c r="I14" s="44"/>
      <c r="J14" s="45"/>
      <c r="K14" s="11"/>
      <c r="L14" s="17"/>
      <c r="M14" s="36"/>
      <c r="N14" s="37"/>
    </row>
    <row r="15" spans="1:14" ht="18" customHeight="1">
      <c r="B15" s="6"/>
      <c r="C15" s="49"/>
      <c r="D15" s="50"/>
      <c r="E15" s="49"/>
      <c r="F15" s="50"/>
      <c r="G15" s="49"/>
      <c r="H15" s="50"/>
      <c r="I15" s="51"/>
      <c r="J15" s="52"/>
      <c r="K15" s="13"/>
      <c r="L15" s="19"/>
      <c r="M15" s="32"/>
      <c r="N15" s="33"/>
    </row>
    <row r="16" spans="1:14" ht="18" customHeight="1">
      <c r="B16" s="8"/>
      <c r="C16" s="44"/>
      <c r="D16" s="48"/>
      <c r="E16" s="44"/>
      <c r="F16" s="48"/>
      <c r="G16" s="44"/>
      <c r="H16" s="48"/>
      <c r="I16" s="53"/>
      <c r="J16" s="54"/>
      <c r="K16" s="85" t="s">
        <v>13</v>
      </c>
      <c r="L16" s="16"/>
      <c r="M16" s="34"/>
      <c r="N16" s="35"/>
    </row>
    <row r="17" spans="2:14" ht="18" customHeight="1">
      <c r="B17" s="6"/>
      <c r="C17" s="49"/>
      <c r="D17" s="50"/>
      <c r="E17" s="49"/>
      <c r="F17" s="50"/>
      <c r="G17" s="49"/>
      <c r="H17" s="50"/>
      <c r="I17" s="51"/>
      <c r="J17" s="52"/>
      <c r="K17" s="86"/>
      <c r="L17" s="17"/>
      <c r="M17" s="36"/>
      <c r="N17" s="37"/>
    </row>
    <row r="18" spans="2:14" ht="18" customHeight="1">
      <c r="B18" s="9"/>
      <c r="C18" s="55"/>
      <c r="D18" s="56"/>
      <c r="E18" s="55"/>
      <c r="F18" s="56"/>
      <c r="G18" s="55"/>
      <c r="H18" s="56"/>
      <c r="I18" s="55"/>
      <c r="J18" s="73"/>
      <c r="K18" s="86"/>
      <c r="L18" s="17"/>
      <c r="M18" s="36"/>
      <c r="N18" s="37"/>
    </row>
    <row r="19" spans="2:14" ht="18" customHeight="1">
      <c r="B19" s="6"/>
      <c r="C19" s="49"/>
      <c r="D19" s="50"/>
      <c r="E19" s="49"/>
      <c r="F19" s="50"/>
      <c r="G19" s="49"/>
      <c r="H19" s="50"/>
      <c r="I19" s="51"/>
      <c r="J19" s="52"/>
      <c r="K19" s="11"/>
      <c r="L19" s="17"/>
      <c r="M19" s="36"/>
      <c r="N19" s="37"/>
    </row>
    <row r="20" spans="2:14" ht="18" customHeight="1">
      <c r="B20" s="8"/>
      <c r="C20" s="44"/>
      <c r="D20" s="48"/>
      <c r="E20" s="44"/>
      <c r="F20" s="48"/>
      <c r="G20" s="44"/>
      <c r="H20" s="48"/>
      <c r="I20" s="44"/>
      <c r="J20" s="45"/>
      <c r="K20" s="11"/>
      <c r="L20" s="17"/>
      <c r="M20" s="36"/>
      <c r="N20" s="37"/>
    </row>
    <row r="21" spans="2:14" ht="18" customHeight="1">
      <c r="B21" s="6"/>
      <c r="C21" s="49"/>
      <c r="D21" s="50"/>
      <c r="E21" s="49"/>
      <c r="F21" s="50"/>
      <c r="G21" s="49"/>
      <c r="H21" s="50"/>
      <c r="I21" s="46"/>
      <c r="J21" s="47"/>
      <c r="K21" s="13"/>
      <c r="L21" s="19"/>
      <c r="M21" s="32"/>
      <c r="N21" s="33"/>
    </row>
    <row r="22" spans="2:14" ht="18" customHeight="1">
      <c r="B22" s="8"/>
      <c r="C22" s="44"/>
      <c r="D22" s="48"/>
      <c r="E22" s="44"/>
      <c r="F22" s="48"/>
      <c r="G22" s="44"/>
      <c r="H22" s="48"/>
      <c r="I22" s="44"/>
      <c r="J22" s="45"/>
      <c r="K22" s="85" t="s">
        <v>14</v>
      </c>
      <c r="L22" s="16"/>
      <c r="M22" s="36"/>
      <c r="N22" s="37"/>
    </row>
    <row r="23" spans="2:14" ht="18" customHeight="1">
      <c r="B23" s="6"/>
      <c r="C23" s="49"/>
      <c r="D23" s="50"/>
      <c r="E23" s="49"/>
      <c r="F23" s="50"/>
      <c r="G23" s="49"/>
      <c r="H23" s="50"/>
      <c r="I23" s="51"/>
      <c r="J23" s="52"/>
      <c r="K23" s="86"/>
      <c r="L23" s="17"/>
      <c r="M23" s="36"/>
      <c r="N23" s="37"/>
    </row>
    <row r="24" spans="2:14" ht="30.75" customHeight="1">
      <c r="B24" s="8"/>
      <c r="C24" s="44"/>
      <c r="D24" s="48"/>
      <c r="E24" s="44"/>
      <c r="F24" s="48"/>
      <c r="G24" s="44"/>
      <c r="H24" s="48"/>
      <c r="I24" s="44"/>
      <c r="J24" s="45"/>
      <c r="K24" s="86"/>
      <c r="L24" s="17"/>
      <c r="M24" s="92"/>
      <c r="N24" s="93"/>
    </row>
    <row r="25" spans="2:14" ht="18" customHeight="1">
      <c r="B25" s="6"/>
      <c r="C25" s="49"/>
      <c r="D25" s="50"/>
      <c r="E25" s="49"/>
      <c r="F25" s="50"/>
      <c r="G25" s="49"/>
      <c r="H25" s="50"/>
      <c r="I25" s="51"/>
      <c r="J25" s="52"/>
      <c r="K25" s="86"/>
      <c r="L25" s="17"/>
      <c r="M25" s="36"/>
      <c r="N25" s="37"/>
    </row>
    <row r="26" spans="2:14" ht="18" customHeight="1">
      <c r="B26" s="8"/>
      <c r="C26" s="44"/>
      <c r="D26" s="48"/>
      <c r="E26" s="44"/>
      <c r="F26" s="48"/>
      <c r="G26" s="44"/>
      <c r="H26" s="48"/>
      <c r="I26" s="44"/>
      <c r="J26" s="45"/>
      <c r="K26" s="11"/>
      <c r="L26" s="17"/>
      <c r="M26" s="36"/>
      <c r="N26" s="37"/>
    </row>
    <row r="27" spans="2:14" ht="18" customHeight="1">
      <c r="B27" s="6"/>
      <c r="C27" s="49"/>
      <c r="D27" s="50"/>
      <c r="E27" s="49"/>
      <c r="F27" s="50"/>
      <c r="G27" s="49"/>
      <c r="H27" s="50"/>
      <c r="I27" s="51"/>
      <c r="J27" s="52"/>
      <c r="K27" s="13"/>
      <c r="L27" s="19"/>
      <c r="M27" s="32"/>
      <c r="N27" s="33"/>
    </row>
    <row r="28" spans="2:14" ht="18" customHeight="1">
      <c r="B28" s="8"/>
      <c r="C28" s="44"/>
      <c r="D28" s="48"/>
      <c r="E28" s="44"/>
      <c r="F28" s="48"/>
      <c r="G28" s="44"/>
      <c r="H28" s="48"/>
      <c r="I28" s="44"/>
      <c r="J28" s="45"/>
      <c r="K28" s="68" t="s">
        <v>15</v>
      </c>
      <c r="L28" s="16"/>
      <c r="M28" s="34"/>
      <c r="N28" s="35"/>
    </row>
    <row r="29" spans="2:14" ht="18" customHeight="1">
      <c r="B29" s="6"/>
      <c r="C29" s="49"/>
      <c r="D29" s="50"/>
      <c r="E29" s="49"/>
      <c r="F29" s="50"/>
      <c r="G29" s="49"/>
      <c r="H29" s="50"/>
      <c r="I29" s="49"/>
      <c r="J29" s="67"/>
      <c r="K29" s="69"/>
      <c r="L29" s="17"/>
      <c r="M29" s="36"/>
      <c r="N29" s="37"/>
    </row>
    <row r="30" spans="2:14" ht="18" customHeight="1">
      <c r="B30" s="59"/>
      <c r="C30" s="60"/>
      <c r="D30" s="60"/>
      <c r="E30" s="60"/>
      <c r="F30" s="60"/>
      <c r="G30" s="60"/>
      <c r="H30" s="60"/>
      <c r="I30" s="60"/>
      <c r="J30" s="61"/>
      <c r="K30" s="69"/>
      <c r="L30" s="17"/>
      <c r="M30" s="36"/>
      <c r="N30" s="37"/>
    </row>
    <row r="31" spans="2:14" ht="18" customHeight="1">
      <c r="B31" s="62"/>
      <c r="C31" s="63"/>
      <c r="D31" s="63"/>
      <c r="E31" s="63"/>
      <c r="F31" s="63"/>
      <c r="G31" s="63"/>
      <c r="H31" s="63"/>
      <c r="I31" s="63"/>
      <c r="J31" s="64"/>
      <c r="K31" s="14"/>
      <c r="L31" s="17"/>
      <c r="M31" s="36"/>
      <c r="N31" s="37"/>
    </row>
    <row r="32" spans="2:14" ht="35.25" customHeight="1">
      <c r="B32" s="62"/>
      <c r="C32" s="63"/>
      <c r="D32" s="63"/>
      <c r="E32" s="63"/>
      <c r="F32" s="63"/>
      <c r="G32" s="63"/>
      <c r="H32" s="63"/>
      <c r="I32" s="63"/>
      <c r="J32" s="64"/>
      <c r="K32" s="14"/>
      <c r="L32" s="17"/>
      <c r="M32" s="36"/>
      <c r="N32" s="37"/>
    </row>
    <row r="33" spans="2:14" ht="18" customHeight="1">
      <c r="B33" s="7"/>
      <c r="C33" s="57"/>
      <c r="D33" s="58"/>
      <c r="E33" s="57"/>
      <c r="F33" s="58"/>
      <c r="G33" s="57"/>
      <c r="H33" s="58"/>
      <c r="I33" s="65"/>
      <c r="J33" s="66"/>
      <c r="K33" s="15"/>
      <c r="L33" s="20"/>
      <c r="M33" s="74"/>
      <c r="N33" s="75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53" priority="4" stopIfTrue="1">
      <formula>DAY(C4)&gt;8</formula>
    </cfRule>
  </conditionalFormatting>
  <conditionalFormatting sqref="C8:I10">
    <cfRule type="expression" dxfId="52" priority="3" stopIfTrue="1">
      <formula>AND(DAY(C8)&gt;=1,DAY(C8)&lt;=15)</formula>
    </cfRule>
  </conditionalFormatting>
  <conditionalFormatting sqref="C4:I9">
    <cfRule type="expression" dxfId="51" priority="5">
      <formula>VLOOKUP(DAY(C4),DíasDeTareas,1,FALSE)=DAY(C4)</formula>
    </cfRule>
  </conditionalFormatting>
  <conditionalFormatting sqref="B14:J29 B33:J33">
    <cfRule type="expression" dxfId="50" priority="2">
      <formula>B14&lt;&gt;""</formula>
    </cfRule>
  </conditionalFormatting>
  <conditionalFormatting sqref="B30">
    <cfRule type="expression" dxfId="49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B19" zoomScaleNormal="100" zoomScalePageLayoutView="84" workbookViewId="0">
      <selection activeCell="B30" sqref="B30:J32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38" t="s">
        <v>23</v>
      </c>
      <c r="C2" s="21"/>
      <c r="D2" s="21"/>
      <c r="E2" s="21"/>
      <c r="F2" s="21"/>
      <c r="G2" s="21"/>
      <c r="H2" s="21"/>
      <c r="I2" s="21"/>
      <c r="J2" s="22"/>
      <c r="K2" s="76" t="s">
        <v>2</v>
      </c>
      <c r="L2" s="77">
        <v>2013</v>
      </c>
      <c r="M2" s="77"/>
      <c r="N2" s="25"/>
    </row>
    <row r="3" spans="1:14" ht="21" customHeight="1">
      <c r="A3" s="4"/>
      <c r="B3" s="3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8"/>
      <c r="L3" s="79"/>
      <c r="M3" s="79"/>
      <c r="N3" s="26"/>
    </row>
    <row r="4" spans="1:14" ht="18" customHeight="1">
      <c r="A4" s="4"/>
      <c r="B4" s="39"/>
      <c r="C4" s="10">
        <f>IF(DAY(AbrDom1)=1,AbrDom1-6,AbrDom1+1)</f>
        <v>43556</v>
      </c>
      <c r="D4" s="10">
        <f>IF(DAY(AbrDom1)=1,AbrDom1-5,AbrDom1+2)</f>
        <v>43557</v>
      </c>
      <c r="E4" s="10">
        <f>IF(DAY(AbrDom1)=1,AbrDom1-4,AbrDom1+3)</f>
        <v>43558</v>
      </c>
      <c r="F4" s="10">
        <f>IF(DAY(AbrDom1)=1,AbrDom1-3,AbrDom1+4)</f>
        <v>43559</v>
      </c>
      <c r="G4" s="10">
        <f>IF(DAY(AbrDom1)=1,AbrDom1-2,AbrDom1+5)</f>
        <v>43560</v>
      </c>
      <c r="H4" s="10">
        <f>IF(DAY(AbrDom1)=1,AbrDom1-1,AbrDom1+6)</f>
        <v>43561</v>
      </c>
      <c r="I4" s="10">
        <f>IF(DAY(AbrDom1)=1,AbrDom1,AbrDom1+7)</f>
        <v>43562</v>
      </c>
      <c r="J4" s="5"/>
      <c r="K4" s="80" t="s">
        <v>11</v>
      </c>
      <c r="L4" s="16"/>
      <c r="M4" s="81"/>
      <c r="N4" s="82"/>
    </row>
    <row r="5" spans="1:14" ht="18" customHeight="1">
      <c r="A5" s="4"/>
      <c r="B5" s="39"/>
      <c r="C5" s="10">
        <f>IF(DAY(AbrDom1)=1,AbrDom1+1,AbrDom1+8)</f>
        <v>43563</v>
      </c>
      <c r="D5" s="10">
        <f>IF(DAY(AbrDom1)=1,AbrDom1+2,AbrDom1+9)</f>
        <v>43564</v>
      </c>
      <c r="E5" s="10">
        <f>IF(DAY(AbrDom1)=1,AbrDom1+3,AbrDom1+10)</f>
        <v>43565</v>
      </c>
      <c r="F5" s="10">
        <f>IF(DAY(AbrDom1)=1,AbrDom1+4,AbrDom1+11)</f>
        <v>43566</v>
      </c>
      <c r="G5" s="10">
        <f>IF(DAY(AbrDom1)=1,AbrDom1+5,AbrDom1+12)</f>
        <v>43567</v>
      </c>
      <c r="H5" s="10">
        <f>IF(DAY(AbrDom1)=1,AbrDom1+6,AbrDom1+13)</f>
        <v>43568</v>
      </c>
      <c r="I5" s="10">
        <f>IF(DAY(AbrDom1)=1,AbrDom1+7,AbrDom1+14)</f>
        <v>43569</v>
      </c>
      <c r="J5" s="5"/>
      <c r="K5" s="69"/>
      <c r="L5" s="17"/>
      <c r="M5" s="36"/>
      <c r="N5" s="37"/>
    </row>
    <row r="6" spans="1:14" ht="18" customHeight="1">
      <c r="A6" s="4"/>
      <c r="B6" s="39"/>
      <c r="C6" s="10">
        <f>IF(DAY(AbrDom1)=1,AbrDom1+8,AbrDom1+15)</f>
        <v>43570</v>
      </c>
      <c r="D6" s="10">
        <f>IF(DAY(AbrDom1)=1,AbrDom1+9,AbrDom1+16)</f>
        <v>43571</v>
      </c>
      <c r="E6" s="10">
        <f>IF(DAY(AbrDom1)=1,AbrDom1+10,AbrDom1+17)</f>
        <v>43572</v>
      </c>
      <c r="F6" s="10">
        <f>IF(DAY(AbrDom1)=1,AbrDom1+11,AbrDom1+18)</f>
        <v>43573</v>
      </c>
      <c r="G6" s="10">
        <f>IF(DAY(AbrDom1)=1,AbrDom1+12,AbrDom1+19)</f>
        <v>43574</v>
      </c>
      <c r="H6" s="10">
        <f>IF(DAY(AbrDom1)=1,AbrDom1+13,AbrDom1+20)</f>
        <v>43575</v>
      </c>
      <c r="I6" s="10">
        <f>IF(DAY(AbrDom1)=1,AbrDom1+14,AbrDom1+21)</f>
        <v>43576</v>
      </c>
      <c r="J6" s="5"/>
      <c r="K6" s="69"/>
      <c r="L6" s="17"/>
      <c r="M6" s="36"/>
      <c r="N6" s="37"/>
    </row>
    <row r="7" spans="1:14" ht="18" customHeight="1">
      <c r="A7" s="4"/>
      <c r="B7" s="39"/>
      <c r="C7" s="10">
        <f>IF(DAY(AbrDom1)=1,AbrDom1+15,AbrDom1+22)</f>
        <v>43577</v>
      </c>
      <c r="D7" s="10">
        <f>IF(DAY(AbrDom1)=1,AbrDom1+16,AbrDom1+23)</f>
        <v>43578</v>
      </c>
      <c r="E7" s="10">
        <f>IF(DAY(AbrDom1)=1,AbrDom1+17,AbrDom1+24)</f>
        <v>43579</v>
      </c>
      <c r="F7" s="10">
        <f>IF(DAY(AbrDom1)=1,AbrDom1+18,AbrDom1+25)</f>
        <v>43580</v>
      </c>
      <c r="G7" s="10">
        <f>IF(DAY(AbrDom1)=1,AbrDom1+19,AbrDom1+26)</f>
        <v>43581</v>
      </c>
      <c r="H7" s="10">
        <f>IF(DAY(AbrDom1)=1,AbrDom1+20,AbrDom1+27)</f>
        <v>43582</v>
      </c>
      <c r="I7" s="10">
        <f>IF(DAY(AbrDom1)=1,AbrDom1+21,AbrDom1+28)</f>
        <v>43583</v>
      </c>
      <c r="J7" s="5"/>
      <c r="K7" s="11"/>
      <c r="L7" s="17"/>
      <c r="M7" s="36"/>
      <c r="N7" s="37"/>
    </row>
    <row r="8" spans="1:14" ht="18.75" customHeight="1">
      <c r="A8" s="4"/>
      <c r="B8" s="39"/>
      <c r="C8" s="10">
        <f>IF(DAY(AbrDom1)=1,AbrDom1+22,AbrDom1+29)</f>
        <v>43584</v>
      </c>
      <c r="D8" s="10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36"/>
      <c r="N8" s="37"/>
    </row>
    <row r="9" spans="1:14" ht="18" customHeight="1">
      <c r="A9" s="4"/>
      <c r="B9" s="39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32"/>
      <c r="N9" s="33"/>
    </row>
    <row r="10" spans="1:14" ht="18" customHeight="1">
      <c r="A10" s="4"/>
      <c r="B10" s="40"/>
      <c r="C10" s="23"/>
      <c r="D10" s="23"/>
      <c r="E10" s="23"/>
      <c r="F10" s="23"/>
      <c r="G10" s="23"/>
      <c r="H10" s="23"/>
      <c r="I10" s="23"/>
      <c r="J10" s="24"/>
      <c r="K10" s="68" t="s">
        <v>12</v>
      </c>
      <c r="L10" s="16"/>
      <c r="M10" s="34"/>
      <c r="N10" s="35"/>
    </row>
    <row r="11" spans="1:14" ht="18" customHeight="1">
      <c r="A11" s="4"/>
      <c r="B11" s="41" t="s">
        <v>10</v>
      </c>
      <c r="C11" s="42"/>
      <c r="D11" s="42"/>
      <c r="E11" s="42"/>
      <c r="F11" s="42"/>
      <c r="G11" s="42"/>
      <c r="H11" s="42"/>
      <c r="I11" s="42"/>
      <c r="J11" s="43"/>
      <c r="K11" s="69"/>
      <c r="L11" s="17"/>
      <c r="M11" s="36"/>
      <c r="N11" s="37"/>
    </row>
    <row r="12" spans="1:14" ht="18" customHeight="1">
      <c r="A12" s="4"/>
      <c r="B12" s="41"/>
      <c r="C12" s="42"/>
      <c r="D12" s="42"/>
      <c r="E12" s="42"/>
      <c r="F12" s="42"/>
      <c r="G12" s="42"/>
      <c r="H12" s="42"/>
      <c r="I12" s="42"/>
      <c r="J12" s="43"/>
      <c r="K12" s="69"/>
      <c r="L12" s="17"/>
      <c r="M12" s="36"/>
      <c r="N12" s="37"/>
    </row>
    <row r="13" spans="1:14" ht="18" customHeight="1">
      <c r="B13" s="3" t="s">
        <v>11</v>
      </c>
      <c r="C13" s="70" t="s">
        <v>12</v>
      </c>
      <c r="D13" s="72"/>
      <c r="E13" s="70" t="s">
        <v>13</v>
      </c>
      <c r="F13" s="72"/>
      <c r="G13" s="70" t="s">
        <v>14</v>
      </c>
      <c r="H13" s="72"/>
      <c r="I13" s="70" t="s">
        <v>15</v>
      </c>
      <c r="J13" s="71"/>
      <c r="K13" s="11"/>
      <c r="L13" s="17"/>
      <c r="M13" s="36"/>
      <c r="N13" s="37"/>
    </row>
    <row r="14" spans="1:14" ht="18" customHeight="1">
      <c r="B14" s="8"/>
      <c r="C14" s="44"/>
      <c r="D14" s="48"/>
      <c r="E14" s="44"/>
      <c r="F14" s="48"/>
      <c r="G14" s="44"/>
      <c r="H14" s="48"/>
      <c r="I14" s="44"/>
      <c r="J14" s="45"/>
      <c r="K14" s="11"/>
      <c r="L14" s="17"/>
      <c r="M14" s="36"/>
      <c r="N14" s="37"/>
    </row>
    <row r="15" spans="1:14" ht="18" customHeight="1">
      <c r="B15" s="6"/>
      <c r="C15" s="49"/>
      <c r="D15" s="50"/>
      <c r="E15" s="49"/>
      <c r="F15" s="50"/>
      <c r="G15" s="49"/>
      <c r="H15" s="50"/>
      <c r="I15" s="51"/>
      <c r="J15" s="52"/>
      <c r="K15" s="13"/>
      <c r="L15" s="19"/>
      <c r="M15" s="32"/>
      <c r="N15" s="33"/>
    </row>
    <row r="16" spans="1:14" ht="12.75">
      <c r="B16" s="8"/>
      <c r="C16" s="44"/>
      <c r="D16" s="48"/>
      <c r="E16" s="44"/>
      <c r="F16" s="48"/>
      <c r="G16" s="44"/>
      <c r="H16" s="48"/>
      <c r="I16" s="53"/>
      <c r="J16" s="54"/>
      <c r="K16" s="85" t="s">
        <v>13</v>
      </c>
      <c r="L16" s="16"/>
      <c r="M16" s="27"/>
      <c r="N16" s="28"/>
    </row>
    <row r="17" spans="2:14" ht="18" customHeight="1">
      <c r="B17" s="6"/>
      <c r="C17" s="49"/>
      <c r="D17" s="50"/>
      <c r="E17" s="49"/>
      <c r="F17" s="50"/>
      <c r="G17" s="49"/>
      <c r="H17" s="50"/>
      <c r="I17" s="51"/>
      <c r="J17" s="52"/>
      <c r="K17" s="86"/>
      <c r="L17" s="17"/>
      <c r="M17" s="36"/>
      <c r="N17" s="37"/>
    </row>
    <row r="18" spans="2:14" ht="18" customHeight="1">
      <c r="B18" s="9"/>
      <c r="C18" s="55"/>
      <c r="D18" s="56"/>
      <c r="E18" s="55"/>
      <c r="F18" s="56"/>
      <c r="G18" s="55"/>
      <c r="H18" s="56"/>
      <c r="I18" s="55"/>
      <c r="J18" s="73"/>
      <c r="K18" s="86"/>
      <c r="L18" s="17"/>
      <c r="M18" s="36"/>
      <c r="N18" s="37"/>
    </row>
    <row r="19" spans="2:14" ht="18" customHeight="1">
      <c r="B19" s="6"/>
      <c r="C19" s="49"/>
      <c r="D19" s="50"/>
      <c r="E19" s="49"/>
      <c r="F19" s="50"/>
      <c r="G19" s="49"/>
      <c r="H19" s="50"/>
      <c r="I19" s="51"/>
      <c r="J19" s="52"/>
      <c r="K19" s="11"/>
      <c r="L19" s="17"/>
      <c r="M19" s="36"/>
      <c r="N19" s="37"/>
    </row>
    <row r="20" spans="2:14" ht="18" customHeight="1">
      <c r="B20" s="8"/>
      <c r="C20" s="44"/>
      <c r="D20" s="48"/>
      <c r="E20" s="44"/>
      <c r="F20" s="48"/>
      <c r="G20" s="44"/>
      <c r="H20" s="48"/>
      <c r="I20" s="44"/>
      <c r="J20" s="45"/>
      <c r="K20" s="11"/>
      <c r="L20" s="17"/>
      <c r="M20" s="36"/>
      <c r="N20" s="37"/>
    </row>
    <row r="21" spans="2:14" ht="18" customHeight="1">
      <c r="B21" s="6"/>
      <c r="C21" s="49"/>
      <c r="D21" s="50"/>
      <c r="E21" s="49"/>
      <c r="F21" s="50"/>
      <c r="G21" s="49"/>
      <c r="H21" s="50"/>
      <c r="I21" s="46"/>
      <c r="J21" s="47"/>
      <c r="K21" s="13"/>
      <c r="L21" s="19"/>
      <c r="M21" s="32"/>
      <c r="N21" s="33"/>
    </row>
    <row r="22" spans="2:14" ht="18" customHeight="1">
      <c r="B22" s="8"/>
      <c r="C22" s="44"/>
      <c r="D22" s="48"/>
      <c r="E22" s="44"/>
      <c r="F22" s="48"/>
      <c r="G22" s="44"/>
      <c r="H22" s="48"/>
      <c r="I22" s="44"/>
      <c r="J22" s="45"/>
      <c r="K22" s="85" t="s">
        <v>14</v>
      </c>
      <c r="L22" s="16"/>
      <c r="M22" s="34"/>
      <c r="N22" s="35"/>
    </row>
    <row r="23" spans="2:14" ht="18" customHeight="1">
      <c r="B23" s="6"/>
      <c r="C23" s="49"/>
      <c r="D23" s="50"/>
      <c r="E23" s="49"/>
      <c r="F23" s="50"/>
      <c r="G23" s="49"/>
      <c r="H23" s="50"/>
      <c r="I23" s="51"/>
      <c r="J23" s="52"/>
      <c r="K23" s="86"/>
      <c r="L23" s="17"/>
      <c r="M23" s="36"/>
      <c r="N23" s="37"/>
    </row>
    <row r="24" spans="2:14" ht="18" customHeight="1">
      <c r="B24" s="8"/>
      <c r="C24" s="44"/>
      <c r="D24" s="48"/>
      <c r="E24" s="44"/>
      <c r="F24" s="48"/>
      <c r="G24" s="44"/>
      <c r="H24" s="48"/>
      <c r="I24" s="44"/>
      <c r="J24" s="45"/>
      <c r="K24" s="86"/>
      <c r="L24" s="17"/>
      <c r="M24" s="36"/>
      <c r="N24" s="37"/>
    </row>
    <row r="25" spans="2:14" ht="18" customHeight="1">
      <c r="B25" s="6"/>
      <c r="C25" s="49"/>
      <c r="D25" s="50"/>
      <c r="E25" s="49"/>
      <c r="F25" s="50"/>
      <c r="G25" s="49"/>
      <c r="H25" s="50"/>
      <c r="I25" s="51"/>
      <c r="J25" s="52"/>
      <c r="K25" s="86"/>
      <c r="L25" s="17"/>
      <c r="M25" s="36"/>
      <c r="N25" s="37"/>
    </row>
    <row r="26" spans="2:14" ht="18" customHeight="1">
      <c r="B26" s="8"/>
      <c r="C26" s="44"/>
      <c r="D26" s="48"/>
      <c r="E26" s="44"/>
      <c r="F26" s="48"/>
      <c r="G26" s="44"/>
      <c r="H26" s="48"/>
      <c r="I26" s="44"/>
      <c r="J26" s="45"/>
      <c r="K26" s="11"/>
      <c r="L26" s="17"/>
      <c r="M26" s="36"/>
      <c r="N26" s="37"/>
    </row>
    <row r="27" spans="2:14" ht="18" customHeight="1">
      <c r="B27" s="6"/>
      <c r="C27" s="49"/>
      <c r="D27" s="50"/>
      <c r="E27" s="49"/>
      <c r="F27" s="50"/>
      <c r="G27" s="49"/>
      <c r="H27" s="50"/>
      <c r="I27" s="51"/>
      <c r="J27" s="52"/>
      <c r="K27" s="13"/>
      <c r="L27" s="19"/>
      <c r="M27" s="32"/>
      <c r="N27" s="33"/>
    </row>
    <row r="28" spans="2:14" ht="18" customHeight="1">
      <c r="B28" s="8"/>
      <c r="C28" s="44"/>
      <c r="D28" s="48"/>
      <c r="E28" s="44"/>
      <c r="F28" s="48"/>
      <c r="G28" s="44"/>
      <c r="H28" s="48"/>
      <c r="I28" s="44"/>
      <c r="J28" s="45"/>
      <c r="K28" s="68" t="s">
        <v>15</v>
      </c>
      <c r="L28" s="16"/>
      <c r="M28" s="34"/>
      <c r="N28" s="35"/>
    </row>
    <row r="29" spans="2:14" ht="18" customHeight="1">
      <c r="B29" s="6"/>
      <c r="C29" s="49"/>
      <c r="D29" s="50"/>
      <c r="E29" s="49"/>
      <c r="F29" s="50"/>
      <c r="G29" s="49"/>
      <c r="H29" s="50"/>
      <c r="I29" s="49"/>
      <c r="J29" s="67"/>
      <c r="K29" s="69"/>
      <c r="L29" s="17"/>
      <c r="M29" s="36"/>
      <c r="N29" s="37"/>
    </row>
    <row r="30" spans="2:14" ht="18" customHeight="1">
      <c r="B30" s="59"/>
      <c r="C30" s="60"/>
      <c r="D30" s="60"/>
      <c r="E30" s="60"/>
      <c r="F30" s="60"/>
      <c r="G30" s="60"/>
      <c r="H30" s="60"/>
      <c r="I30" s="60"/>
      <c r="J30" s="61"/>
      <c r="K30" s="69"/>
      <c r="L30" s="17"/>
      <c r="M30" s="36"/>
      <c r="N30" s="37"/>
    </row>
    <row r="31" spans="2:14" ht="18" customHeight="1">
      <c r="B31" s="62"/>
      <c r="C31" s="63"/>
      <c r="D31" s="63"/>
      <c r="E31" s="63"/>
      <c r="F31" s="63"/>
      <c r="G31" s="63"/>
      <c r="H31" s="63"/>
      <c r="I31" s="63"/>
      <c r="J31" s="64"/>
      <c r="K31" s="14"/>
      <c r="L31" s="17"/>
      <c r="M31" s="36"/>
      <c r="N31" s="37"/>
    </row>
    <row r="32" spans="2:14" ht="18" customHeight="1">
      <c r="B32" s="62"/>
      <c r="C32" s="63"/>
      <c r="D32" s="63"/>
      <c r="E32" s="63"/>
      <c r="F32" s="63"/>
      <c r="G32" s="63"/>
      <c r="H32" s="63"/>
      <c r="I32" s="63"/>
      <c r="J32" s="64"/>
      <c r="K32" s="14"/>
      <c r="L32" s="17"/>
      <c r="M32" s="36"/>
      <c r="N32" s="37"/>
    </row>
    <row r="33" spans="2:14" ht="18" customHeight="1">
      <c r="B33" s="7"/>
      <c r="C33" s="57"/>
      <c r="D33" s="58"/>
      <c r="E33" s="57"/>
      <c r="F33" s="58"/>
      <c r="G33" s="57"/>
      <c r="H33" s="58"/>
      <c r="I33" s="65"/>
      <c r="J33" s="66"/>
      <c r="K33" s="15"/>
      <c r="L33" s="20"/>
      <c r="M33" s="74"/>
      <c r="N33" s="75"/>
    </row>
  </sheetData>
  <mergeCells count="110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8" priority="4" stopIfTrue="1">
      <formula>DAY(C4)&gt;8</formula>
    </cfRule>
  </conditionalFormatting>
  <conditionalFormatting sqref="C8:I10">
    <cfRule type="expression" dxfId="47" priority="3" stopIfTrue="1">
      <formula>AND(DAY(C8)&gt;=1,DAY(C8)&lt;=15)</formula>
    </cfRule>
  </conditionalFormatting>
  <conditionalFormatting sqref="C4:I9">
    <cfRule type="expression" dxfId="46" priority="5">
      <formula>VLOOKUP(DAY(C4),DíasDeTareas,1,FALSE)=DAY(C4)</formula>
    </cfRule>
  </conditionalFormatting>
  <conditionalFormatting sqref="B14:J29 B33:J33">
    <cfRule type="expression" dxfId="45" priority="2">
      <formula>B14&lt;&gt;""</formula>
    </cfRule>
  </conditionalFormatting>
  <conditionalFormatting sqref="B30">
    <cfRule type="expression" dxfId="44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4"/>
  <sheetViews>
    <sheetView showGridLines="0" topLeftCell="B1" zoomScaleNormal="100" zoomScalePageLayoutView="84" workbookViewId="0">
      <selection activeCell="K4" sqref="K4:K6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38" t="s">
        <v>22</v>
      </c>
      <c r="C2" s="21"/>
      <c r="D2" s="21"/>
      <c r="E2" s="21"/>
      <c r="F2" s="21"/>
      <c r="G2" s="21"/>
      <c r="H2" s="21"/>
      <c r="I2" s="21"/>
      <c r="J2" s="22"/>
      <c r="K2" s="76" t="s">
        <v>2</v>
      </c>
      <c r="L2" s="77">
        <v>2013</v>
      </c>
      <c r="M2" s="77"/>
      <c r="N2" s="25"/>
    </row>
    <row r="3" spans="1:14" ht="21" customHeight="1">
      <c r="A3" s="4"/>
      <c r="B3" s="3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8"/>
      <c r="L3" s="79"/>
      <c r="M3" s="79"/>
      <c r="N3" s="26"/>
    </row>
    <row r="4" spans="1:14" ht="18" customHeight="1">
      <c r="A4" s="4"/>
      <c r="B4" s="39"/>
      <c r="C4" s="10">
        <f>IF(DAY(MayDom1)=1,MayDom1-6,MayDom1+1)</f>
        <v>43584</v>
      </c>
      <c r="D4" s="10">
        <f>IF(DAY(MayDom1)=1,MayDom1-5,MayDom1+2)</f>
        <v>43585</v>
      </c>
      <c r="E4" s="10">
        <f>IF(DAY(MayDom1)=1,MayDom1-4,MayDom1+3)</f>
        <v>43586</v>
      </c>
      <c r="F4" s="10">
        <f>IF(DAY(MayDom1)=1,MayDom1-3,MayDom1+4)</f>
        <v>43587</v>
      </c>
      <c r="G4" s="10">
        <f>IF(DAY(MayDom1)=1,MayDom1-2,MayDom1+5)</f>
        <v>43588</v>
      </c>
      <c r="H4" s="10">
        <f>IF(DAY(MayDom1)=1,MayDom1-1,MayDom1+6)</f>
        <v>43589</v>
      </c>
      <c r="I4" s="10">
        <f>IF(DAY(MayDom1)=1,MayDom1,MayDom1+7)</f>
        <v>43590</v>
      </c>
      <c r="J4" s="5"/>
      <c r="K4" s="80" t="s">
        <v>11</v>
      </c>
      <c r="L4" s="16"/>
      <c r="M4" s="81"/>
      <c r="N4" s="82"/>
    </row>
    <row r="5" spans="1:14" ht="18" customHeight="1">
      <c r="A5" s="4"/>
      <c r="B5" s="39"/>
      <c r="C5" s="10">
        <f>IF(DAY(MayDom1)=1,MayDom1+1,MayDom1+8)</f>
        <v>43591</v>
      </c>
      <c r="D5" s="10">
        <f>IF(DAY(MayDom1)=1,MayDom1+2,MayDom1+9)</f>
        <v>43592</v>
      </c>
      <c r="E5" s="10">
        <f>IF(DAY(MayDom1)=1,MayDom1+3,MayDom1+10)</f>
        <v>43593</v>
      </c>
      <c r="F5" s="10">
        <f>IF(DAY(MayDom1)=1,MayDom1+4,MayDom1+11)</f>
        <v>43594</v>
      </c>
      <c r="G5" s="10">
        <f>IF(DAY(MayDom1)=1,MayDom1+5,MayDom1+12)</f>
        <v>43595</v>
      </c>
      <c r="H5" s="10">
        <f>IF(DAY(MayDom1)=1,MayDom1+6,MayDom1+13)</f>
        <v>43596</v>
      </c>
      <c r="I5" s="10">
        <f>IF(DAY(MayDom1)=1,MayDom1+7,MayDom1+14)</f>
        <v>43597</v>
      </c>
      <c r="J5" s="5"/>
      <c r="K5" s="69"/>
      <c r="L5" s="17"/>
      <c r="M5" s="36"/>
      <c r="N5" s="37"/>
    </row>
    <row r="6" spans="1:14" ht="18" customHeight="1">
      <c r="A6" s="4"/>
      <c r="B6" s="39"/>
      <c r="C6" s="10">
        <f>IF(DAY(MayDom1)=1,MayDom1+8,MayDom1+15)</f>
        <v>43598</v>
      </c>
      <c r="D6" s="10">
        <f>IF(DAY(MayDom1)=1,MayDom1+9,MayDom1+16)</f>
        <v>43599</v>
      </c>
      <c r="E6" s="10">
        <f>IF(DAY(MayDom1)=1,MayDom1+10,MayDom1+17)</f>
        <v>43600</v>
      </c>
      <c r="F6" s="10">
        <f>IF(DAY(MayDom1)=1,MayDom1+11,MayDom1+18)</f>
        <v>43601</v>
      </c>
      <c r="G6" s="10">
        <f>IF(DAY(MayDom1)=1,MayDom1+12,MayDom1+19)</f>
        <v>43602</v>
      </c>
      <c r="H6" s="10">
        <f>IF(DAY(MayDom1)=1,MayDom1+13,MayDom1+20)</f>
        <v>43603</v>
      </c>
      <c r="I6" s="10">
        <f>IF(DAY(MayDom1)=1,MayDom1+14,MayDom1+21)</f>
        <v>43604</v>
      </c>
      <c r="J6" s="5"/>
      <c r="K6" s="69"/>
      <c r="L6" s="17"/>
      <c r="M6" s="36"/>
      <c r="N6" s="37"/>
    </row>
    <row r="7" spans="1:14" ht="18" customHeight="1">
      <c r="A7" s="4"/>
      <c r="B7" s="39"/>
      <c r="C7" s="10">
        <f>IF(DAY(MayDom1)=1,MayDom1+15,MayDom1+22)</f>
        <v>43605</v>
      </c>
      <c r="D7" s="10">
        <f>IF(DAY(MayDom1)=1,MayDom1+16,MayDom1+23)</f>
        <v>43606</v>
      </c>
      <c r="E7" s="10">
        <f>IF(DAY(MayDom1)=1,MayDom1+17,MayDom1+24)</f>
        <v>43607</v>
      </c>
      <c r="F7" s="10">
        <f>IF(DAY(MayDom1)=1,MayDom1+18,MayDom1+25)</f>
        <v>43608</v>
      </c>
      <c r="G7" s="10">
        <f>IF(DAY(MayDom1)=1,MayDom1+19,MayDom1+26)</f>
        <v>43609</v>
      </c>
      <c r="H7" s="10">
        <f>IF(DAY(MayDom1)=1,MayDom1+20,MayDom1+27)</f>
        <v>43610</v>
      </c>
      <c r="I7" s="10">
        <f>IF(DAY(MayDom1)=1,MayDom1+21,MayDom1+28)</f>
        <v>43611</v>
      </c>
      <c r="J7" s="5"/>
      <c r="K7" s="11"/>
      <c r="L7" s="17"/>
      <c r="M7" s="36"/>
      <c r="N7" s="37"/>
    </row>
    <row r="8" spans="1:14" ht="18.75" customHeight="1">
      <c r="A8" s="4"/>
      <c r="B8" s="39"/>
      <c r="C8" s="10">
        <f>IF(DAY(MayDom1)=1,MayDom1+22,MayDom1+29)</f>
        <v>43612</v>
      </c>
      <c r="D8" s="10">
        <f>IF(DAY(MayDom1)=1,MayDom1+23,MayDom1+30)</f>
        <v>43613</v>
      </c>
      <c r="E8" s="10">
        <f>IF(DAY(MayDom1)=1,MayDom1+24,MayDom1+31)</f>
        <v>43614</v>
      </c>
      <c r="F8" s="10">
        <f>IF(DAY(MayDom1)=1,MayDom1+25,MayDom1+32)</f>
        <v>43615</v>
      </c>
      <c r="G8" s="10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/>
      <c r="M8" s="36"/>
      <c r="N8" s="37"/>
    </row>
    <row r="9" spans="1:14" ht="18" customHeight="1">
      <c r="A9" s="4"/>
      <c r="B9" s="39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32"/>
      <c r="N9" s="33"/>
    </row>
    <row r="10" spans="1:14" ht="18" customHeight="1">
      <c r="A10" s="4"/>
      <c r="B10" s="40"/>
      <c r="C10" s="23"/>
      <c r="D10" s="23"/>
      <c r="E10" s="23"/>
      <c r="F10" s="23"/>
      <c r="G10" s="23"/>
      <c r="H10" s="23"/>
      <c r="I10" s="23"/>
      <c r="J10" s="24"/>
      <c r="K10" s="68" t="s">
        <v>12</v>
      </c>
      <c r="L10" s="16"/>
      <c r="M10" s="34"/>
      <c r="N10" s="35"/>
    </row>
    <row r="11" spans="1:14" ht="18" customHeight="1">
      <c r="A11" s="4"/>
      <c r="B11" s="41" t="s">
        <v>10</v>
      </c>
      <c r="C11" s="42"/>
      <c r="D11" s="42"/>
      <c r="E11" s="42"/>
      <c r="F11" s="42"/>
      <c r="G11" s="42"/>
      <c r="H11" s="42"/>
      <c r="I11" s="42"/>
      <c r="J11" s="43"/>
      <c r="K11" s="69"/>
      <c r="L11" s="17"/>
      <c r="M11" s="36"/>
      <c r="N11" s="37"/>
    </row>
    <row r="12" spans="1:14" ht="18" customHeight="1">
      <c r="A12" s="4"/>
      <c r="B12" s="41"/>
      <c r="C12" s="42"/>
      <c r="D12" s="42"/>
      <c r="E12" s="42"/>
      <c r="F12" s="42"/>
      <c r="G12" s="42"/>
      <c r="H12" s="42"/>
      <c r="I12" s="42"/>
      <c r="J12" s="43"/>
      <c r="K12" s="69"/>
      <c r="L12" s="17"/>
      <c r="M12" s="36"/>
      <c r="N12" s="37"/>
    </row>
    <row r="13" spans="1:14" ht="18" customHeight="1">
      <c r="B13" s="3" t="s">
        <v>11</v>
      </c>
      <c r="C13" s="70" t="s">
        <v>12</v>
      </c>
      <c r="D13" s="72"/>
      <c r="E13" s="70" t="s">
        <v>13</v>
      </c>
      <c r="F13" s="72"/>
      <c r="G13" s="70" t="s">
        <v>14</v>
      </c>
      <c r="H13" s="72"/>
      <c r="I13" s="70" t="s">
        <v>15</v>
      </c>
      <c r="J13" s="71"/>
      <c r="K13" s="11"/>
      <c r="L13" s="17"/>
      <c r="M13" s="36"/>
      <c r="N13" s="37"/>
    </row>
    <row r="14" spans="1:14" ht="18" customHeight="1">
      <c r="B14" s="8"/>
      <c r="C14" s="44"/>
      <c r="D14" s="48"/>
      <c r="E14" s="44"/>
      <c r="F14" s="48"/>
      <c r="G14" s="44"/>
      <c r="H14" s="48"/>
      <c r="I14" s="44"/>
      <c r="J14" s="45"/>
      <c r="K14" s="11"/>
      <c r="L14" s="17"/>
      <c r="M14" s="36"/>
      <c r="N14" s="37"/>
    </row>
    <row r="15" spans="1:14" ht="18" customHeight="1">
      <c r="B15" s="6"/>
      <c r="C15" s="49"/>
      <c r="D15" s="50"/>
      <c r="E15" s="49"/>
      <c r="F15" s="50"/>
      <c r="G15" s="49"/>
      <c r="H15" s="50"/>
      <c r="I15" s="51"/>
      <c r="J15" s="52"/>
      <c r="K15" s="13"/>
      <c r="L15" s="19"/>
      <c r="M15" s="32"/>
      <c r="N15" s="33"/>
    </row>
    <row r="16" spans="1:14" ht="18" customHeight="1">
      <c r="B16" s="8"/>
      <c r="C16" s="44"/>
      <c r="D16" s="48"/>
      <c r="E16" s="44"/>
      <c r="F16" s="48"/>
      <c r="G16" s="44"/>
      <c r="H16" s="48"/>
      <c r="I16" s="53"/>
      <c r="J16" s="54"/>
      <c r="K16" s="85" t="s">
        <v>13</v>
      </c>
      <c r="L16" s="16"/>
      <c r="M16" s="34"/>
      <c r="N16" s="35"/>
    </row>
    <row r="17" spans="2:14" ht="18" customHeight="1">
      <c r="B17" s="6"/>
      <c r="C17" s="49"/>
      <c r="D17" s="50"/>
      <c r="E17" s="49"/>
      <c r="F17" s="50"/>
      <c r="G17" s="49"/>
      <c r="H17" s="50"/>
      <c r="I17" s="51"/>
      <c r="J17" s="52"/>
      <c r="K17" s="86"/>
      <c r="L17" s="17"/>
      <c r="M17" s="36"/>
      <c r="N17" s="37"/>
    </row>
    <row r="18" spans="2:14" ht="18" customHeight="1">
      <c r="B18" s="9"/>
      <c r="C18" s="55"/>
      <c r="D18" s="56"/>
      <c r="E18" s="55"/>
      <c r="F18" s="56"/>
      <c r="G18" s="55"/>
      <c r="H18" s="56"/>
      <c r="I18" s="55"/>
      <c r="J18" s="73"/>
      <c r="K18" s="86"/>
      <c r="L18" s="17"/>
      <c r="M18" s="36"/>
      <c r="N18" s="37"/>
    </row>
    <row r="19" spans="2:14" ht="18" customHeight="1">
      <c r="B19" s="6"/>
      <c r="C19" s="49"/>
      <c r="D19" s="50"/>
      <c r="E19" s="49"/>
      <c r="F19" s="50"/>
      <c r="G19" s="49"/>
      <c r="H19" s="50"/>
      <c r="I19" s="51"/>
      <c r="J19" s="52"/>
      <c r="K19" s="11"/>
      <c r="L19" s="17"/>
      <c r="M19" s="36"/>
      <c r="N19" s="37"/>
    </row>
    <row r="20" spans="2:14" ht="18" customHeight="1">
      <c r="B20" s="8"/>
      <c r="C20" s="44"/>
      <c r="D20" s="48"/>
      <c r="E20" s="44"/>
      <c r="F20" s="48"/>
      <c r="G20" s="44"/>
      <c r="H20" s="48"/>
      <c r="I20" s="44"/>
      <c r="J20" s="45"/>
      <c r="K20" s="11"/>
      <c r="L20" s="17"/>
      <c r="M20" s="36"/>
      <c r="N20" s="37"/>
    </row>
    <row r="21" spans="2:14" ht="18" customHeight="1">
      <c r="B21" s="6"/>
      <c r="C21" s="49"/>
      <c r="D21" s="50"/>
      <c r="E21" s="49"/>
      <c r="F21" s="50"/>
      <c r="G21" s="49"/>
      <c r="H21" s="50"/>
      <c r="I21" s="46"/>
      <c r="J21" s="47"/>
      <c r="K21" s="13"/>
      <c r="L21" s="19"/>
      <c r="M21" s="32"/>
      <c r="N21" s="33"/>
    </row>
    <row r="22" spans="2:14" ht="18" customHeight="1">
      <c r="B22" s="8"/>
      <c r="C22" s="44"/>
      <c r="D22" s="48"/>
      <c r="E22" s="44"/>
      <c r="F22" s="48"/>
      <c r="G22" s="44"/>
      <c r="H22" s="48"/>
      <c r="I22" s="44"/>
      <c r="J22" s="45"/>
      <c r="K22" s="85" t="s">
        <v>14</v>
      </c>
      <c r="L22" s="16"/>
      <c r="M22" s="34"/>
      <c r="N22" s="35"/>
    </row>
    <row r="23" spans="2:14" ht="18" customHeight="1">
      <c r="B23" s="6"/>
      <c r="C23" s="49"/>
      <c r="D23" s="50"/>
      <c r="E23" s="49"/>
      <c r="F23" s="50"/>
      <c r="G23" s="49"/>
      <c r="H23" s="50"/>
      <c r="I23" s="51"/>
      <c r="J23" s="52"/>
      <c r="K23" s="86"/>
      <c r="L23" s="17"/>
      <c r="M23" s="36"/>
      <c r="N23" s="37"/>
    </row>
    <row r="24" spans="2:14" ht="18" customHeight="1">
      <c r="B24" s="8"/>
      <c r="C24" s="44"/>
      <c r="D24" s="48"/>
      <c r="E24" s="44"/>
      <c r="F24" s="48"/>
      <c r="G24" s="44"/>
      <c r="H24" s="48"/>
      <c r="I24" s="44"/>
      <c r="J24" s="45"/>
      <c r="K24" s="86"/>
      <c r="L24" s="17"/>
      <c r="M24" s="36"/>
      <c r="N24" s="37"/>
    </row>
    <row r="25" spans="2:14" ht="18" customHeight="1">
      <c r="B25" s="6"/>
      <c r="C25" s="49"/>
      <c r="D25" s="50"/>
      <c r="E25" s="49"/>
      <c r="F25" s="50"/>
      <c r="G25" s="49"/>
      <c r="H25" s="50"/>
      <c r="I25" s="51"/>
      <c r="J25" s="52"/>
      <c r="K25" s="86"/>
      <c r="L25" s="17"/>
      <c r="M25" s="36"/>
      <c r="N25" s="37"/>
    </row>
    <row r="26" spans="2:14" ht="18" customHeight="1">
      <c r="B26" s="8"/>
      <c r="C26" s="44"/>
      <c r="D26" s="48"/>
      <c r="E26" s="44"/>
      <c r="F26" s="48"/>
      <c r="G26" s="44"/>
      <c r="H26" s="48"/>
      <c r="I26" s="44"/>
      <c r="J26" s="45"/>
      <c r="K26" s="11"/>
      <c r="L26" s="17"/>
      <c r="M26" s="36"/>
      <c r="N26" s="37"/>
    </row>
    <row r="27" spans="2:14" ht="18" customHeight="1">
      <c r="B27" s="6"/>
      <c r="C27" s="49"/>
      <c r="D27" s="50"/>
      <c r="E27" s="49"/>
      <c r="F27" s="50"/>
      <c r="G27" s="49"/>
      <c r="H27" s="50"/>
      <c r="I27" s="51"/>
      <c r="J27" s="52"/>
      <c r="K27" s="13"/>
      <c r="L27" s="19"/>
      <c r="M27" s="32"/>
      <c r="N27" s="33"/>
    </row>
    <row r="28" spans="2:14" ht="18" customHeight="1">
      <c r="B28" s="8"/>
      <c r="C28" s="44"/>
      <c r="D28" s="48"/>
      <c r="E28" s="44"/>
      <c r="F28" s="48"/>
      <c r="G28" s="44"/>
      <c r="H28" s="48"/>
      <c r="I28" s="44"/>
      <c r="J28" s="45"/>
      <c r="K28" s="68" t="s">
        <v>15</v>
      </c>
      <c r="L28" s="16"/>
      <c r="M28" s="34"/>
      <c r="N28" s="35"/>
    </row>
    <row r="29" spans="2:14" ht="18" customHeight="1">
      <c r="B29" s="6"/>
      <c r="C29" s="49"/>
      <c r="D29" s="50"/>
      <c r="E29" s="49"/>
      <c r="F29" s="50"/>
      <c r="G29" s="49"/>
      <c r="H29" s="50"/>
      <c r="I29" s="49"/>
      <c r="J29" s="67"/>
      <c r="K29" s="69"/>
      <c r="L29" s="17"/>
      <c r="M29" s="36"/>
      <c r="N29" s="37"/>
    </row>
    <row r="30" spans="2:14" ht="18" customHeight="1">
      <c r="B30" s="59"/>
      <c r="C30" s="60"/>
      <c r="D30" s="60"/>
      <c r="E30" s="60"/>
      <c r="F30" s="60"/>
      <c r="G30" s="60"/>
      <c r="H30" s="60"/>
      <c r="I30" s="60"/>
      <c r="J30" s="61"/>
      <c r="K30" s="69"/>
      <c r="L30" s="17"/>
      <c r="M30" s="36"/>
      <c r="N30" s="37"/>
    </row>
    <row r="31" spans="2:14" ht="18" customHeight="1">
      <c r="B31" s="62"/>
      <c r="C31" s="63"/>
      <c r="D31" s="63"/>
      <c r="E31" s="63"/>
      <c r="F31" s="63"/>
      <c r="G31" s="63"/>
      <c r="H31" s="63"/>
      <c r="I31" s="63"/>
      <c r="J31" s="64"/>
      <c r="K31" s="14"/>
      <c r="L31" s="17"/>
      <c r="M31" s="36"/>
      <c r="N31" s="37"/>
    </row>
    <row r="32" spans="2:14" ht="18" customHeight="1">
      <c r="B32" s="62"/>
      <c r="C32" s="63"/>
      <c r="D32" s="63"/>
      <c r="E32" s="63"/>
      <c r="F32" s="63"/>
      <c r="G32" s="63"/>
      <c r="H32" s="63"/>
      <c r="I32" s="63"/>
      <c r="J32" s="64"/>
      <c r="K32" s="14"/>
      <c r="L32" s="17"/>
      <c r="M32" s="36"/>
      <c r="N32" s="37"/>
    </row>
    <row r="33" spans="2:14" ht="18" customHeight="1">
      <c r="B33" s="7"/>
      <c r="C33" s="57"/>
      <c r="D33" s="58"/>
      <c r="E33" s="57"/>
      <c r="F33" s="58"/>
      <c r="G33" s="57"/>
      <c r="H33" s="58"/>
      <c r="I33" s="65"/>
      <c r="J33" s="66"/>
      <c r="K33" s="15"/>
      <c r="L33" s="20"/>
      <c r="M33" s="74"/>
      <c r="N33" s="75"/>
    </row>
    <row r="34" spans="2:14" ht="16.5" customHeight="1">
      <c r="K34" s="1" t="s">
        <v>26</v>
      </c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3" priority="4" stopIfTrue="1">
      <formula>DAY(C4)&gt;8</formula>
    </cfRule>
  </conditionalFormatting>
  <conditionalFormatting sqref="C8:I10">
    <cfRule type="expression" dxfId="42" priority="3" stopIfTrue="1">
      <formula>AND(DAY(C8)&gt;=1,DAY(C8)&lt;=15)</formula>
    </cfRule>
  </conditionalFormatting>
  <conditionalFormatting sqref="C4:I9">
    <cfRule type="expression" dxfId="41" priority="5">
      <formula>VLOOKUP(DAY(C4),DíasDeTareas,1,FALSE)=DAY(C4)</formula>
    </cfRule>
  </conditionalFormatting>
  <conditionalFormatting sqref="B14:J29 B33:J33">
    <cfRule type="expression" dxfId="40" priority="2">
      <formula>B14&lt;&gt;""</formula>
    </cfRule>
  </conditionalFormatting>
  <conditionalFormatting sqref="B30">
    <cfRule type="expression" dxfId="39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B7" zoomScaleNormal="100" zoomScalePageLayoutView="84" workbookViewId="0">
      <selection activeCell="L34" sqref="L34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38" t="s">
        <v>21</v>
      </c>
      <c r="C2" s="21"/>
      <c r="D2" s="21"/>
      <c r="E2" s="21"/>
      <c r="F2" s="21"/>
      <c r="G2" s="21"/>
      <c r="H2" s="21"/>
      <c r="I2" s="21"/>
      <c r="J2" s="22"/>
      <c r="K2" s="76" t="s">
        <v>2</v>
      </c>
      <c r="L2" s="77">
        <v>2013</v>
      </c>
      <c r="M2" s="77"/>
      <c r="N2" s="25"/>
    </row>
    <row r="3" spans="1:14" ht="21" customHeight="1">
      <c r="A3" s="4"/>
      <c r="B3" s="3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8"/>
      <c r="L3" s="79"/>
      <c r="M3" s="79"/>
      <c r="N3" s="26"/>
    </row>
    <row r="4" spans="1:14" ht="18" customHeight="1">
      <c r="A4" s="4"/>
      <c r="B4" s="39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10">
        <f>IF(DAY(JunDom1)=1,JunDom1-1,JunDom1+6)</f>
        <v>43617</v>
      </c>
      <c r="I4" s="10">
        <f>IF(DAY(JunDom1)=1,JunDom1,JunDom1+7)</f>
        <v>43618</v>
      </c>
      <c r="J4" s="5"/>
      <c r="K4" s="80" t="s">
        <v>11</v>
      </c>
      <c r="L4" s="16"/>
      <c r="M4" s="81"/>
      <c r="N4" s="82"/>
    </row>
    <row r="5" spans="1:14" ht="18" customHeight="1">
      <c r="A5" s="4"/>
      <c r="B5" s="39"/>
      <c r="C5" s="10">
        <f>IF(DAY(JunDom1)=1,JunDom1+1,JunDom1+8)</f>
        <v>43619</v>
      </c>
      <c r="D5" s="10">
        <f>IF(DAY(JunDom1)=1,JunDom1+2,JunDom1+9)</f>
        <v>43620</v>
      </c>
      <c r="E5" s="10">
        <f>IF(DAY(JunDom1)=1,JunDom1+3,JunDom1+10)</f>
        <v>43621</v>
      </c>
      <c r="F5" s="10">
        <f>IF(DAY(JunDom1)=1,JunDom1+4,JunDom1+11)</f>
        <v>43622</v>
      </c>
      <c r="G5" s="10">
        <f>IF(DAY(JunDom1)=1,JunDom1+5,JunDom1+12)</f>
        <v>43623</v>
      </c>
      <c r="H5" s="10">
        <f>IF(DAY(JunDom1)=1,JunDom1+6,JunDom1+13)</f>
        <v>43624</v>
      </c>
      <c r="I5" s="10">
        <f>IF(DAY(JunDom1)=1,JunDom1+7,JunDom1+14)</f>
        <v>43625</v>
      </c>
      <c r="J5" s="5"/>
      <c r="K5" s="69"/>
      <c r="L5" s="17"/>
      <c r="M5" s="36"/>
      <c r="N5" s="37"/>
    </row>
    <row r="6" spans="1:14" ht="18" customHeight="1">
      <c r="A6" s="4"/>
      <c r="B6" s="39"/>
      <c r="C6" s="10">
        <f>IF(DAY(JunDom1)=1,JunDom1+8,JunDom1+15)</f>
        <v>43626</v>
      </c>
      <c r="D6" s="10">
        <f>IF(DAY(JunDom1)=1,JunDom1+9,JunDom1+16)</f>
        <v>43627</v>
      </c>
      <c r="E6" s="10">
        <f>IF(DAY(JunDom1)=1,JunDom1+10,JunDom1+17)</f>
        <v>43628</v>
      </c>
      <c r="F6" s="10">
        <f>IF(DAY(JunDom1)=1,JunDom1+11,JunDom1+18)</f>
        <v>43629</v>
      </c>
      <c r="G6" s="10">
        <f>IF(DAY(JunDom1)=1,JunDom1+12,JunDom1+19)</f>
        <v>43630</v>
      </c>
      <c r="H6" s="10">
        <f>IF(DAY(JunDom1)=1,JunDom1+13,JunDom1+20)</f>
        <v>43631</v>
      </c>
      <c r="I6" s="10">
        <f>IF(DAY(JunDom1)=1,JunDom1+14,JunDom1+21)</f>
        <v>43632</v>
      </c>
      <c r="J6" s="5"/>
      <c r="K6" s="69"/>
      <c r="L6" s="17"/>
      <c r="M6" s="36"/>
      <c r="N6" s="37"/>
    </row>
    <row r="7" spans="1:14" ht="18" customHeight="1">
      <c r="A7" s="4"/>
      <c r="B7" s="39"/>
      <c r="C7" s="10">
        <f>IF(DAY(JunDom1)=1,JunDom1+15,JunDom1+22)</f>
        <v>43633</v>
      </c>
      <c r="D7" s="10">
        <f>IF(DAY(JunDom1)=1,JunDom1+16,JunDom1+23)</f>
        <v>43634</v>
      </c>
      <c r="E7" s="10">
        <f>IF(DAY(JunDom1)=1,JunDom1+17,JunDom1+24)</f>
        <v>43635</v>
      </c>
      <c r="F7" s="10">
        <f>IF(DAY(JunDom1)=1,JunDom1+18,JunDom1+25)</f>
        <v>43636</v>
      </c>
      <c r="G7" s="10">
        <f>IF(DAY(JunDom1)=1,JunDom1+19,JunDom1+26)</f>
        <v>43637</v>
      </c>
      <c r="H7" s="10">
        <f>IF(DAY(JunDom1)=1,JunDom1+20,JunDom1+27)</f>
        <v>43638</v>
      </c>
      <c r="I7" s="10">
        <f>IF(DAY(JunDom1)=1,JunDom1+21,JunDom1+28)</f>
        <v>43639</v>
      </c>
      <c r="J7" s="5"/>
      <c r="K7" s="11"/>
      <c r="L7" s="17"/>
      <c r="M7" s="36"/>
      <c r="N7" s="37"/>
    </row>
    <row r="8" spans="1:14" ht="18.75" customHeight="1">
      <c r="A8" s="4"/>
      <c r="B8" s="39"/>
      <c r="C8" s="10">
        <f>IF(DAY(JunDom1)=1,JunDom1+22,JunDom1+29)</f>
        <v>43640</v>
      </c>
      <c r="D8" s="10">
        <f>IF(DAY(JunDom1)=1,JunDom1+23,JunDom1+30)</f>
        <v>43641</v>
      </c>
      <c r="E8" s="10">
        <f>IF(DAY(JunDom1)=1,JunDom1+24,JunDom1+31)</f>
        <v>43642</v>
      </c>
      <c r="F8" s="10">
        <f>IF(DAY(JunDom1)=1,JunDom1+25,JunDom1+32)</f>
        <v>43643</v>
      </c>
      <c r="G8" s="10">
        <f>IF(DAY(JunDom1)=1,JunDom1+26,JunDom1+33)</f>
        <v>43644</v>
      </c>
      <c r="H8" s="10">
        <f>IF(DAY(JunDom1)=1,JunDom1+27,JunDom1+34)</f>
        <v>43645</v>
      </c>
      <c r="I8" s="10">
        <f>IF(DAY(JunDom1)=1,JunDom1+28,JunDom1+35)</f>
        <v>43646</v>
      </c>
      <c r="J8" s="5"/>
      <c r="K8" s="11"/>
      <c r="L8" s="17"/>
      <c r="M8" s="36"/>
      <c r="N8" s="37"/>
    </row>
    <row r="9" spans="1:14" ht="18" customHeight="1">
      <c r="A9" s="4"/>
      <c r="B9" s="39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32"/>
      <c r="N9" s="33"/>
    </row>
    <row r="10" spans="1:14" ht="18" customHeight="1">
      <c r="A10" s="4"/>
      <c r="B10" s="40"/>
      <c r="C10" s="23"/>
      <c r="D10" s="23"/>
      <c r="E10" s="23"/>
      <c r="F10" s="23"/>
      <c r="G10" s="23"/>
      <c r="H10" s="23"/>
      <c r="I10" s="23"/>
      <c r="J10" s="24"/>
      <c r="K10" s="68" t="s">
        <v>12</v>
      </c>
      <c r="L10" s="16"/>
      <c r="M10" s="34"/>
      <c r="N10" s="35"/>
    </row>
    <row r="11" spans="1:14" ht="18" customHeight="1">
      <c r="A11" s="4"/>
      <c r="B11" s="41" t="s">
        <v>10</v>
      </c>
      <c r="C11" s="42"/>
      <c r="D11" s="42"/>
      <c r="E11" s="42"/>
      <c r="F11" s="42"/>
      <c r="G11" s="42"/>
      <c r="H11" s="42"/>
      <c r="I11" s="42"/>
      <c r="J11" s="43"/>
      <c r="K11" s="69"/>
      <c r="L11" s="17"/>
      <c r="M11" s="36"/>
      <c r="N11" s="37"/>
    </row>
    <row r="12" spans="1:14" ht="18" customHeight="1">
      <c r="A12" s="4"/>
      <c r="B12" s="41"/>
      <c r="C12" s="42"/>
      <c r="D12" s="42"/>
      <c r="E12" s="42"/>
      <c r="F12" s="42"/>
      <c r="G12" s="42"/>
      <c r="H12" s="42"/>
      <c r="I12" s="42"/>
      <c r="J12" s="43"/>
      <c r="K12" s="69"/>
      <c r="L12" s="17"/>
      <c r="M12" s="36"/>
      <c r="N12" s="37"/>
    </row>
    <row r="13" spans="1:14" ht="18" customHeight="1">
      <c r="B13" s="3" t="s">
        <v>11</v>
      </c>
      <c r="C13" s="70" t="s">
        <v>12</v>
      </c>
      <c r="D13" s="72"/>
      <c r="E13" s="70" t="s">
        <v>13</v>
      </c>
      <c r="F13" s="72"/>
      <c r="G13" s="70" t="s">
        <v>14</v>
      </c>
      <c r="H13" s="72"/>
      <c r="I13" s="70" t="s">
        <v>15</v>
      </c>
      <c r="J13" s="71"/>
      <c r="K13" s="11"/>
      <c r="L13" s="17"/>
      <c r="M13" s="36"/>
      <c r="N13" s="37"/>
    </row>
    <row r="14" spans="1:14" ht="18" customHeight="1">
      <c r="B14" s="8"/>
      <c r="C14" s="44"/>
      <c r="D14" s="48"/>
      <c r="E14" s="44"/>
      <c r="F14" s="48"/>
      <c r="G14" s="44"/>
      <c r="H14" s="48"/>
      <c r="I14" s="44"/>
      <c r="J14" s="45"/>
      <c r="K14" s="11"/>
      <c r="L14" s="17"/>
      <c r="M14" s="36"/>
      <c r="N14" s="37"/>
    </row>
    <row r="15" spans="1:14" ht="18" customHeight="1">
      <c r="B15" s="6"/>
      <c r="C15" s="49"/>
      <c r="D15" s="50"/>
      <c r="E15" s="49"/>
      <c r="F15" s="50"/>
      <c r="G15" s="49"/>
      <c r="H15" s="50"/>
      <c r="I15" s="51"/>
      <c r="J15" s="52"/>
      <c r="K15" s="13"/>
      <c r="L15" s="19"/>
      <c r="M15" s="32"/>
      <c r="N15" s="33"/>
    </row>
    <row r="16" spans="1:14" ht="18" customHeight="1">
      <c r="B16" s="8"/>
      <c r="C16" s="44"/>
      <c r="D16" s="48"/>
      <c r="E16" s="44"/>
      <c r="F16" s="48"/>
      <c r="G16" s="44"/>
      <c r="H16" s="48"/>
      <c r="I16" s="53"/>
      <c r="J16" s="54"/>
      <c r="K16" s="85" t="s">
        <v>13</v>
      </c>
      <c r="L16" s="16"/>
      <c r="M16" s="34"/>
      <c r="N16" s="35"/>
    </row>
    <row r="17" spans="2:14" ht="18" customHeight="1">
      <c r="B17" s="6"/>
      <c r="C17" s="49"/>
      <c r="D17" s="50"/>
      <c r="E17" s="49"/>
      <c r="F17" s="50"/>
      <c r="G17" s="49"/>
      <c r="H17" s="50"/>
      <c r="I17" s="51"/>
      <c r="J17" s="52"/>
      <c r="K17" s="86"/>
      <c r="L17" s="17"/>
      <c r="M17" s="36"/>
      <c r="N17" s="37"/>
    </row>
    <row r="18" spans="2:14" ht="18" customHeight="1">
      <c r="B18" s="9"/>
      <c r="C18" s="55"/>
      <c r="D18" s="56"/>
      <c r="E18" s="55"/>
      <c r="F18" s="56"/>
      <c r="G18" s="55"/>
      <c r="H18" s="56"/>
      <c r="I18" s="55"/>
      <c r="J18" s="73"/>
      <c r="K18" s="86"/>
      <c r="L18" s="17"/>
      <c r="M18" s="36"/>
      <c r="N18" s="37"/>
    </row>
    <row r="19" spans="2:14" ht="18" customHeight="1">
      <c r="B19" s="6"/>
      <c r="C19" s="49"/>
      <c r="D19" s="50"/>
      <c r="E19" s="49"/>
      <c r="F19" s="50"/>
      <c r="G19" s="49"/>
      <c r="H19" s="50"/>
      <c r="I19" s="51"/>
      <c r="J19" s="52"/>
      <c r="K19" s="11"/>
      <c r="L19" s="17"/>
      <c r="M19" s="36"/>
      <c r="N19" s="37"/>
    </row>
    <row r="20" spans="2:14" ht="18" customHeight="1">
      <c r="B20" s="8"/>
      <c r="C20" s="44"/>
      <c r="D20" s="48"/>
      <c r="E20" s="44"/>
      <c r="F20" s="48"/>
      <c r="G20" s="44"/>
      <c r="H20" s="48"/>
      <c r="I20" s="44"/>
      <c r="J20" s="45"/>
      <c r="K20" s="11"/>
      <c r="L20" s="17"/>
      <c r="M20" s="36"/>
      <c r="N20" s="37"/>
    </row>
    <row r="21" spans="2:14" ht="18" customHeight="1">
      <c r="B21" s="6"/>
      <c r="C21" s="49"/>
      <c r="D21" s="50"/>
      <c r="E21" s="49"/>
      <c r="F21" s="50"/>
      <c r="G21" s="49"/>
      <c r="H21" s="50"/>
      <c r="I21" s="46"/>
      <c r="J21" s="47"/>
      <c r="K21" s="13"/>
      <c r="L21" s="19"/>
      <c r="M21" s="32"/>
      <c r="N21" s="33"/>
    </row>
    <row r="22" spans="2:14" ht="18" customHeight="1">
      <c r="B22" s="8"/>
      <c r="C22" s="44"/>
      <c r="D22" s="48"/>
      <c r="E22" s="44"/>
      <c r="F22" s="48"/>
      <c r="G22" s="44"/>
      <c r="H22" s="48"/>
      <c r="I22" s="44"/>
      <c r="J22" s="45"/>
      <c r="K22" s="85" t="s">
        <v>14</v>
      </c>
      <c r="L22" s="16"/>
      <c r="M22" s="34"/>
      <c r="N22" s="35"/>
    </row>
    <row r="23" spans="2:14" ht="18" customHeight="1">
      <c r="B23" s="6"/>
      <c r="C23" s="49"/>
      <c r="D23" s="50"/>
      <c r="E23" s="49"/>
      <c r="F23" s="50"/>
      <c r="G23" s="49"/>
      <c r="H23" s="50"/>
      <c r="I23" s="51"/>
      <c r="J23" s="52"/>
      <c r="K23" s="86"/>
      <c r="L23" s="17"/>
      <c r="M23" s="36"/>
      <c r="N23" s="37"/>
    </row>
    <row r="24" spans="2:14" ht="18" customHeight="1">
      <c r="B24" s="8"/>
      <c r="C24" s="44"/>
      <c r="D24" s="48"/>
      <c r="E24" s="44"/>
      <c r="F24" s="48"/>
      <c r="G24" s="44"/>
      <c r="H24" s="48"/>
      <c r="I24" s="44"/>
      <c r="J24" s="45"/>
      <c r="K24" s="86"/>
      <c r="L24" s="17"/>
      <c r="M24" s="36"/>
      <c r="N24" s="37"/>
    </row>
    <row r="25" spans="2:14" ht="18" customHeight="1">
      <c r="B25" s="6"/>
      <c r="C25" s="49"/>
      <c r="D25" s="50"/>
      <c r="E25" s="49"/>
      <c r="F25" s="50"/>
      <c r="G25" s="49"/>
      <c r="H25" s="50"/>
      <c r="I25" s="51"/>
      <c r="J25" s="52"/>
      <c r="K25" s="86"/>
      <c r="L25" s="17"/>
      <c r="M25" s="36"/>
      <c r="N25" s="37"/>
    </row>
    <row r="26" spans="2:14" ht="18" customHeight="1">
      <c r="B26" s="8"/>
      <c r="C26" s="44"/>
      <c r="D26" s="48"/>
      <c r="E26" s="44"/>
      <c r="F26" s="48"/>
      <c r="G26" s="44"/>
      <c r="H26" s="48"/>
      <c r="I26" s="44"/>
      <c r="J26" s="45"/>
      <c r="K26" s="11"/>
      <c r="L26" s="17"/>
      <c r="M26" s="36"/>
      <c r="N26" s="37"/>
    </row>
    <row r="27" spans="2:14" ht="18" customHeight="1">
      <c r="B27" s="6"/>
      <c r="C27" s="49"/>
      <c r="D27" s="50"/>
      <c r="E27" s="49"/>
      <c r="F27" s="50"/>
      <c r="G27" s="49"/>
      <c r="H27" s="50"/>
      <c r="I27" s="51"/>
      <c r="J27" s="52"/>
      <c r="K27" s="13"/>
      <c r="L27" s="19"/>
      <c r="M27" s="32"/>
      <c r="N27" s="33"/>
    </row>
    <row r="28" spans="2:14" ht="18" customHeight="1">
      <c r="B28" s="8"/>
      <c r="C28" s="44"/>
      <c r="D28" s="48"/>
      <c r="E28" s="44"/>
      <c r="F28" s="48"/>
      <c r="G28" s="44"/>
      <c r="H28" s="48"/>
      <c r="I28" s="44"/>
      <c r="J28" s="45"/>
      <c r="K28" s="68" t="s">
        <v>15</v>
      </c>
      <c r="L28" s="16"/>
      <c r="M28" s="34"/>
      <c r="N28" s="35"/>
    </row>
    <row r="29" spans="2:14" ht="18" customHeight="1">
      <c r="B29" s="6"/>
      <c r="C29" s="49"/>
      <c r="D29" s="50"/>
      <c r="E29" s="49"/>
      <c r="F29" s="50"/>
      <c r="G29" s="49"/>
      <c r="H29" s="50"/>
      <c r="I29" s="49"/>
      <c r="J29" s="67"/>
      <c r="K29" s="69"/>
      <c r="L29" s="17"/>
      <c r="M29" s="36"/>
      <c r="N29" s="37"/>
    </row>
    <row r="30" spans="2:14" ht="18" customHeight="1">
      <c r="B30" s="59"/>
      <c r="C30" s="60"/>
      <c r="D30" s="60"/>
      <c r="E30" s="60"/>
      <c r="F30" s="60"/>
      <c r="G30" s="60"/>
      <c r="H30" s="60"/>
      <c r="I30" s="60"/>
      <c r="J30" s="61"/>
      <c r="K30" s="69"/>
      <c r="L30" s="17"/>
      <c r="M30" s="36"/>
      <c r="N30" s="37"/>
    </row>
    <row r="31" spans="2:14" ht="18" customHeight="1">
      <c r="B31" s="62"/>
      <c r="C31" s="63"/>
      <c r="D31" s="63"/>
      <c r="E31" s="63"/>
      <c r="F31" s="63"/>
      <c r="G31" s="63"/>
      <c r="H31" s="63"/>
      <c r="I31" s="63"/>
      <c r="J31" s="64"/>
      <c r="K31" s="14"/>
      <c r="L31" s="17"/>
      <c r="M31" s="36"/>
      <c r="N31" s="37"/>
    </row>
    <row r="32" spans="2:14" ht="18" customHeight="1">
      <c r="B32" s="62"/>
      <c r="C32" s="63"/>
      <c r="D32" s="63"/>
      <c r="E32" s="63"/>
      <c r="F32" s="63"/>
      <c r="G32" s="63"/>
      <c r="H32" s="63"/>
      <c r="I32" s="63"/>
      <c r="J32" s="64"/>
      <c r="K32" s="14"/>
      <c r="L32" s="17"/>
      <c r="M32" s="36"/>
      <c r="N32" s="37"/>
    </row>
    <row r="33" spans="2:14" ht="18" customHeight="1">
      <c r="B33" s="7"/>
      <c r="C33" s="57"/>
      <c r="D33" s="58"/>
      <c r="E33" s="57"/>
      <c r="F33" s="58"/>
      <c r="G33" s="57"/>
      <c r="H33" s="58"/>
      <c r="I33" s="65"/>
      <c r="J33" s="66"/>
      <c r="K33" s="15"/>
      <c r="L33" s="20"/>
      <c r="M33" s="74"/>
      <c r="N33" s="75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38" priority="4" stopIfTrue="1">
      <formula>DAY(C4)&gt;8</formula>
    </cfRule>
  </conditionalFormatting>
  <conditionalFormatting sqref="C8:I10">
    <cfRule type="expression" dxfId="37" priority="3" stopIfTrue="1">
      <formula>AND(DAY(C8)&gt;=1,DAY(C8)&lt;=15)</formula>
    </cfRule>
  </conditionalFormatting>
  <conditionalFormatting sqref="C4:I9">
    <cfRule type="expression" dxfId="36" priority="5">
      <formula>VLOOKUP(DAY(C4),DíasDeTareas,1,FALSE)=DAY(C4)</formula>
    </cfRule>
  </conditionalFormatting>
  <conditionalFormatting sqref="B14:J29 B33:J33">
    <cfRule type="expression" dxfId="35" priority="2">
      <formula>B14&lt;&gt;""</formula>
    </cfRule>
  </conditionalFormatting>
  <conditionalFormatting sqref="B30">
    <cfRule type="expression" dxfId="34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A7" zoomScaleNormal="100" zoomScalePageLayoutView="84" workbookViewId="0">
      <selection activeCell="B30" sqref="B30:J32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38" t="s">
        <v>20</v>
      </c>
      <c r="C2" s="21"/>
      <c r="D2" s="21"/>
      <c r="E2" s="21"/>
      <c r="F2" s="21"/>
      <c r="G2" s="21"/>
      <c r="H2" s="21"/>
      <c r="I2" s="21"/>
      <c r="J2" s="22"/>
      <c r="K2" s="76" t="s">
        <v>2</v>
      </c>
      <c r="L2" s="77">
        <v>2013</v>
      </c>
      <c r="M2" s="77"/>
      <c r="N2" s="25"/>
    </row>
    <row r="3" spans="1:14" ht="21" customHeight="1">
      <c r="A3" s="4"/>
      <c r="B3" s="3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8"/>
      <c r="L3" s="79"/>
      <c r="M3" s="79"/>
      <c r="N3" s="26"/>
    </row>
    <row r="4" spans="1:14" ht="18" customHeight="1">
      <c r="A4" s="4"/>
      <c r="B4" s="39"/>
      <c r="C4" s="10">
        <f>IF(DAY(JulDom1)=1,JulDom1-6,JulDom1+1)</f>
        <v>43647</v>
      </c>
      <c r="D4" s="10">
        <f>IF(DAY(JulDom1)=1,JulDom1-5,JulDom1+2)</f>
        <v>43648</v>
      </c>
      <c r="E4" s="10">
        <f>IF(DAY(JulDom1)=1,JulDom1-4,JulDom1+3)</f>
        <v>43649</v>
      </c>
      <c r="F4" s="10">
        <f>IF(DAY(JulDom1)=1,JulDom1-3,JulDom1+4)</f>
        <v>43650</v>
      </c>
      <c r="G4" s="10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80" t="s">
        <v>11</v>
      </c>
      <c r="L4" s="16"/>
      <c r="M4" s="81"/>
      <c r="N4" s="82"/>
    </row>
    <row r="5" spans="1:14" ht="18" customHeight="1">
      <c r="A5" s="4"/>
      <c r="B5" s="39"/>
      <c r="C5" s="10">
        <f>IF(DAY(JulDom1)=1,JulDom1+1,JulDom1+8)</f>
        <v>43654</v>
      </c>
      <c r="D5" s="10">
        <f>IF(DAY(JulDom1)=1,JulDom1+2,JulDom1+9)</f>
        <v>43655</v>
      </c>
      <c r="E5" s="10">
        <f>IF(DAY(JulDom1)=1,JulDom1+3,JulDom1+10)</f>
        <v>43656</v>
      </c>
      <c r="F5" s="10">
        <f>IF(DAY(JulDom1)=1,JulDom1+4,JulDom1+11)</f>
        <v>43657</v>
      </c>
      <c r="G5" s="10">
        <f>IF(DAY(JulDom1)=1,JulDom1+5,JulDom1+12)</f>
        <v>43658</v>
      </c>
      <c r="H5" s="10">
        <f>IF(DAY(JulDom1)=1,JulDom1+6,JulDom1+13)</f>
        <v>43659</v>
      </c>
      <c r="I5" s="10">
        <f>IF(DAY(JulDom1)=1,JulDom1+7,JulDom1+14)</f>
        <v>43660</v>
      </c>
      <c r="J5" s="5"/>
      <c r="K5" s="69"/>
      <c r="L5" s="17"/>
      <c r="M5" s="36"/>
      <c r="N5" s="37"/>
    </row>
    <row r="6" spans="1:14" ht="18" customHeight="1">
      <c r="A6" s="4"/>
      <c r="B6" s="39"/>
      <c r="C6" s="10">
        <f>IF(DAY(JulDom1)=1,JulDom1+8,JulDom1+15)</f>
        <v>43661</v>
      </c>
      <c r="D6" s="10">
        <f>IF(DAY(JulDom1)=1,JulDom1+9,JulDom1+16)</f>
        <v>43662</v>
      </c>
      <c r="E6" s="10">
        <f>IF(DAY(JulDom1)=1,JulDom1+10,JulDom1+17)</f>
        <v>43663</v>
      </c>
      <c r="F6" s="10">
        <f>IF(DAY(JulDom1)=1,JulDom1+11,JulDom1+18)</f>
        <v>43664</v>
      </c>
      <c r="G6" s="10">
        <f>IF(DAY(JulDom1)=1,JulDom1+12,JulDom1+19)</f>
        <v>43665</v>
      </c>
      <c r="H6" s="10">
        <f>IF(DAY(JulDom1)=1,JulDom1+13,JulDom1+20)</f>
        <v>43666</v>
      </c>
      <c r="I6" s="10">
        <f>IF(DAY(JulDom1)=1,JulDom1+14,JulDom1+21)</f>
        <v>43667</v>
      </c>
      <c r="J6" s="5"/>
      <c r="K6" s="69"/>
      <c r="L6" s="17"/>
      <c r="M6" s="36"/>
      <c r="N6" s="37"/>
    </row>
    <row r="7" spans="1:14" ht="18" customHeight="1">
      <c r="A7" s="4"/>
      <c r="B7" s="39"/>
      <c r="C7" s="10">
        <f>IF(DAY(JulDom1)=1,JulDom1+15,JulDom1+22)</f>
        <v>43668</v>
      </c>
      <c r="D7" s="10">
        <f>IF(DAY(JulDom1)=1,JulDom1+16,JulDom1+23)</f>
        <v>43669</v>
      </c>
      <c r="E7" s="10">
        <f>IF(DAY(JulDom1)=1,JulDom1+17,JulDom1+24)</f>
        <v>43670</v>
      </c>
      <c r="F7" s="10">
        <f>IF(DAY(JulDom1)=1,JulDom1+18,JulDom1+25)</f>
        <v>43671</v>
      </c>
      <c r="G7" s="10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/>
      <c r="M7" s="36"/>
      <c r="N7" s="37"/>
    </row>
    <row r="8" spans="1:14" ht="18.75" customHeight="1">
      <c r="A8" s="4"/>
      <c r="B8" s="39"/>
      <c r="C8" s="10">
        <f>IF(DAY(JulDom1)=1,JulDom1+22,JulDom1+29)</f>
        <v>43675</v>
      </c>
      <c r="D8" s="10">
        <f>IF(DAY(JulDom1)=1,JulDom1+23,JulDom1+30)</f>
        <v>43676</v>
      </c>
      <c r="E8" s="10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/>
      <c r="M8" s="36"/>
      <c r="N8" s="37"/>
    </row>
    <row r="9" spans="1:14" ht="18" customHeight="1">
      <c r="A9" s="4"/>
      <c r="B9" s="39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/>
      <c r="M9" s="32"/>
      <c r="N9" s="33"/>
    </row>
    <row r="10" spans="1:14" ht="18" customHeight="1">
      <c r="A10" s="4"/>
      <c r="B10" s="40"/>
      <c r="C10" s="23"/>
      <c r="D10" s="23"/>
      <c r="E10" s="23"/>
      <c r="F10" s="23"/>
      <c r="G10" s="23"/>
      <c r="H10" s="23"/>
      <c r="I10" s="23"/>
      <c r="J10" s="24"/>
      <c r="K10" s="68" t="s">
        <v>12</v>
      </c>
      <c r="L10" s="16"/>
      <c r="M10" s="34"/>
      <c r="N10" s="35"/>
    </row>
    <row r="11" spans="1:14" ht="18" customHeight="1">
      <c r="A11" s="4"/>
      <c r="B11" s="41" t="s">
        <v>10</v>
      </c>
      <c r="C11" s="42"/>
      <c r="D11" s="42"/>
      <c r="E11" s="42"/>
      <c r="F11" s="42"/>
      <c r="G11" s="42"/>
      <c r="H11" s="42"/>
      <c r="I11" s="42"/>
      <c r="J11" s="43"/>
      <c r="K11" s="69"/>
      <c r="L11" s="17"/>
      <c r="M11" s="36"/>
      <c r="N11" s="37"/>
    </row>
    <row r="12" spans="1:14" ht="18" customHeight="1">
      <c r="A12" s="4"/>
      <c r="B12" s="41"/>
      <c r="C12" s="42"/>
      <c r="D12" s="42"/>
      <c r="E12" s="42"/>
      <c r="F12" s="42"/>
      <c r="G12" s="42"/>
      <c r="H12" s="42"/>
      <c r="I12" s="42"/>
      <c r="J12" s="43"/>
      <c r="K12" s="69"/>
      <c r="L12" s="17"/>
      <c r="M12" s="36"/>
      <c r="N12" s="37"/>
    </row>
    <row r="13" spans="1:14" ht="18" customHeight="1">
      <c r="B13" s="3" t="s">
        <v>11</v>
      </c>
      <c r="C13" s="70" t="s">
        <v>12</v>
      </c>
      <c r="D13" s="72"/>
      <c r="E13" s="70" t="s">
        <v>13</v>
      </c>
      <c r="F13" s="72"/>
      <c r="G13" s="70" t="s">
        <v>14</v>
      </c>
      <c r="H13" s="72"/>
      <c r="I13" s="70" t="s">
        <v>15</v>
      </c>
      <c r="J13" s="71"/>
      <c r="K13" s="11"/>
      <c r="L13" s="17"/>
      <c r="M13" s="36"/>
      <c r="N13" s="37"/>
    </row>
    <row r="14" spans="1:14" ht="18" customHeight="1">
      <c r="B14" s="8"/>
      <c r="C14" s="44"/>
      <c r="D14" s="48"/>
      <c r="E14" s="44"/>
      <c r="F14" s="48"/>
      <c r="G14" s="44"/>
      <c r="H14" s="48"/>
      <c r="I14" s="44"/>
      <c r="J14" s="45"/>
      <c r="K14" s="11"/>
      <c r="L14" s="17"/>
      <c r="M14" s="36"/>
      <c r="N14" s="37"/>
    </row>
    <row r="15" spans="1:14" ht="18" customHeight="1">
      <c r="B15" s="6"/>
      <c r="C15" s="49"/>
      <c r="D15" s="50"/>
      <c r="E15" s="49"/>
      <c r="F15" s="50"/>
      <c r="G15" s="49"/>
      <c r="H15" s="50"/>
      <c r="I15" s="51"/>
      <c r="J15" s="52"/>
      <c r="K15" s="13"/>
      <c r="L15" s="19"/>
      <c r="M15" s="32"/>
      <c r="N15" s="33"/>
    </row>
    <row r="16" spans="1:14" ht="18" customHeight="1">
      <c r="B16" s="8"/>
      <c r="C16" s="44"/>
      <c r="D16" s="48"/>
      <c r="E16" s="44"/>
      <c r="F16" s="48"/>
      <c r="G16" s="44"/>
      <c r="H16" s="48"/>
      <c r="I16" s="53"/>
      <c r="J16" s="54"/>
      <c r="K16" s="85" t="s">
        <v>13</v>
      </c>
      <c r="L16" s="16"/>
      <c r="M16" s="34"/>
      <c r="N16" s="35"/>
    </row>
    <row r="17" spans="2:14" ht="18" customHeight="1">
      <c r="B17" s="6"/>
      <c r="C17" s="49"/>
      <c r="D17" s="50"/>
      <c r="E17" s="49"/>
      <c r="F17" s="50"/>
      <c r="G17" s="49"/>
      <c r="H17" s="50"/>
      <c r="I17" s="51"/>
      <c r="J17" s="52"/>
      <c r="K17" s="86"/>
      <c r="L17" s="17"/>
      <c r="M17" s="36"/>
      <c r="N17" s="37"/>
    </row>
    <row r="18" spans="2:14" ht="18" customHeight="1">
      <c r="B18" s="9"/>
      <c r="C18" s="55"/>
      <c r="D18" s="56"/>
      <c r="E18" s="55"/>
      <c r="F18" s="56"/>
      <c r="G18" s="55"/>
      <c r="H18" s="56"/>
      <c r="I18" s="55"/>
      <c r="J18" s="73"/>
      <c r="K18" s="86"/>
      <c r="L18" s="17"/>
      <c r="M18" s="36"/>
      <c r="N18" s="37"/>
    </row>
    <row r="19" spans="2:14" ht="18" customHeight="1">
      <c r="B19" s="6"/>
      <c r="C19" s="49"/>
      <c r="D19" s="50"/>
      <c r="E19" s="49"/>
      <c r="F19" s="50"/>
      <c r="G19" s="49"/>
      <c r="H19" s="50"/>
      <c r="I19" s="51"/>
      <c r="J19" s="52"/>
      <c r="K19" s="11"/>
      <c r="L19" s="17"/>
      <c r="M19" s="36"/>
      <c r="N19" s="37"/>
    </row>
    <row r="20" spans="2:14" ht="18" customHeight="1">
      <c r="B20" s="8"/>
      <c r="C20" s="44"/>
      <c r="D20" s="48"/>
      <c r="E20" s="44"/>
      <c r="F20" s="48"/>
      <c r="G20" s="44"/>
      <c r="H20" s="48"/>
      <c r="I20" s="44"/>
      <c r="J20" s="45"/>
      <c r="K20" s="11"/>
      <c r="L20" s="17"/>
      <c r="M20" s="36"/>
      <c r="N20" s="37"/>
    </row>
    <row r="21" spans="2:14" ht="18" customHeight="1">
      <c r="B21" s="6"/>
      <c r="C21" s="49"/>
      <c r="D21" s="50"/>
      <c r="E21" s="49"/>
      <c r="F21" s="50"/>
      <c r="G21" s="49"/>
      <c r="H21" s="50"/>
      <c r="I21" s="46"/>
      <c r="J21" s="47"/>
      <c r="K21" s="13"/>
      <c r="L21" s="19"/>
      <c r="M21" s="32"/>
      <c r="N21" s="33"/>
    </row>
    <row r="22" spans="2:14" ht="18" customHeight="1">
      <c r="B22" s="8"/>
      <c r="C22" s="44"/>
      <c r="D22" s="48"/>
      <c r="E22" s="44"/>
      <c r="F22" s="48"/>
      <c r="G22" s="44"/>
      <c r="H22" s="48"/>
      <c r="I22" s="44"/>
      <c r="J22" s="45"/>
      <c r="K22" s="85" t="s">
        <v>14</v>
      </c>
      <c r="L22" s="16"/>
      <c r="M22" s="34"/>
      <c r="N22" s="35"/>
    </row>
    <row r="23" spans="2:14" ht="18" customHeight="1">
      <c r="B23" s="6"/>
      <c r="C23" s="49"/>
      <c r="D23" s="50"/>
      <c r="E23" s="49"/>
      <c r="F23" s="50"/>
      <c r="G23" s="49"/>
      <c r="H23" s="50"/>
      <c r="I23" s="51"/>
      <c r="J23" s="52"/>
      <c r="K23" s="86"/>
      <c r="L23" s="17"/>
      <c r="M23" s="36"/>
      <c r="N23" s="37"/>
    </row>
    <row r="24" spans="2:14" ht="18" customHeight="1">
      <c r="B24" s="8"/>
      <c r="C24" s="44"/>
      <c r="D24" s="48"/>
      <c r="E24" s="44"/>
      <c r="F24" s="48"/>
      <c r="G24" s="44"/>
      <c r="H24" s="48"/>
      <c r="I24" s="44"/>
      <c r="J24" s="45"/>
      <c r="K24" s="86"/>
      <c r="L24" s="17"/>
      <c r="M24" s="36"/>
      <c r="N24" s="37"/>
    </row>
    <row r="25" spans="2:14" ht="18" customHeight="1">
      <c r="B25" s="6"/>
      <c r="C25" s="49"/>
      <c r="D25" s="50"/>
      <c r="E25" s="49"/>
      <c r="F25" s="50"/>
      <c r="G25" s="49"/>
      <c r="H25" s="50"/>
      <c r="I25" s="51"/>
      <c r="J25" s="52"/>
      <c r="K25" s="86"/>
      <c r="L25" s="17"/>
      <c r="M25" s="36"/>
      <c r="N25" s="37"/>
    </row>
    <row r="26" spans="2:14" ht="18" customHeight="1">
      <c r="B26" s="8"/>
      <c r="C26" s="44"/>
      <c r="D26" s="48"/>
      <c r="E26" s="44"/>
      <c r="F26" s="48"/>
      <c r="G26" s="44"/>
      <c r="H26" s="48"/>
      <c r="I26" s="44"/>
      <c r="J26" s="45"/>
      <c r="K26" s="11"/>
      <c r="L26" s="17"/>
      <c r="M26" s="36"/>
      <c r="N26" s="37"/>
    </row>
    <row r="27" spans="2:14" ht="18" customHeight="1">
      <c r="B27" s="6"/>
      <c r="C27" s="49"/>
      <c r="D27" s="50"/>
      <c r="E27" s="49"/>
      <c r="F27" s="50"/>
      <c r="G27" s="49"/>
      <c r="H27" s="50"/>
      <c r="I27" s="51"/>
      <c r="J27" s="52"/>
      <c r="K27" s="13"/>
      <c r="L27" s="19"/>
      <c r="M27" s="32"/>
      <c r="N27" s="33"/>
    </row>
    <row r="28" spans="2:14" ht="18" customHeight="1">
      <c r="B28" s="8"/>
      <c r="C28" s="44"/>
      <c r="D28" s="48"/>
      <c r="E28" s="44"/>
      <c r="F28" s="48"/>
      <c r="G28" s="44"/>
      <c r="H28" s="48"/>
      <c r="I28" s="44"/>
      <c r="J28" s="45"/>
      <c r="K28" s="68" t="s">
        <v>15</v>
      </c>
      <c r="L28" s="16"/>
      <c r="M28" s="34"/>
      <c r="N28" s="35"/>
    </row>
    <row r="29" spans="2:14" ht="18" customHeight="1">
      <c r="B29" s="6"/>
      <c r="C29" s="49"/>
      <c r="D29" s="50"/>
      <c r="E29" s="49"/>
      <c r="F29" s="50"/>
      <c r="G29" s="49"/>
      <c r="H29" s="50"/>
      <c r="I29" s="49"/>
      <c r="J29" s="67"/>
      <c r="K29" s="69"/>
      <c r="L29" s="17"/>
      <c r="M29" s="36"/>
      <c r="N29" s="37"/>
    </row>
    <row r="30" spans="2:14" ht="18" customHeight="1">
      <c r="B30" s="59"/>
      <c r="C30" s="60"/>
      <c r="D30" s="60"/>
      <c r="E30" s="60"/>
      <c r="F30" s="60"/>
      <c r="G30" s="60"/>
      <c r="H30" s="60"/>
      <c r="I30" s="60"/>
      <c r="J30" s="61"/>
      <c r="K30" s="69"/>
      <c r="L30" s="17"/>
      <c r="M30" s="36"/>
      <c r="N30" s="37"/>
    </row>
    <row r="31" spans="2:14" ht="18" customHeight="1">
      <c r="B31" s="62"/>
      <c r="C31" s="63"/>
      <c r="D31" s="63"/>
      <c r="E31" s="63"/>
      <c r="F31" s="63"/>
      <c r="G31" s="63"/>
      <c r="H31" s="63"/>
      <c r="I31" s="63"/>
      <c r="J31" s="64"/>
      <c r="K31" s="14"/>
      <c r="L31" s="17"/>
      <c r="M31" s="36"/>
      <c r="N31" s="37"/>
    </row>
    <row r="32" spans="2:14" ht="18" customHeight="1">
      <c r="B32" s="62"/>
      <c r="C32" s="63"/>
      <c r="D32" s="63"/>
      <c r="E32" s="63"/>
      <c r="F32" s="63"/>
      <c r="G32" s="63"/>
      <c r="H32" s="63"/>
      <c r="I32" s="63"/>
      <c r="J32" s="64"/>
      <c r="K32" s="14"/>
      <c r="L32" s="17"/>
      <c r="M32" s="36"/>
      <c r="N32" s="37"/>
    </row>
    <row r="33" spans="2:14" ht="18" customHeight="1">
      <c r="B33" s="7"/>
      <c r="C33" s="57"/>
      <c r="D33" s="58"/>
      <c r="E33" s="57"/>
      <c r="F33" s="58"/>
      <c r="G33" s="57"/>
      <c r="H33" s="58"/>
      <c r="I33" s="65"/>
      <c r="J33" s="66"/>
      <c r="K33" s="15"/>
      <c r="L33" s="20"/>
      <c r="M33" s="74"/>
      <c r="N33" s="75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33" priority="4" stopIfTrue="1">
      <formula>DAY(C4)&gt;8</formula>
    </cfRule>
  </conditionalFormatting>
  <conditionalFormatting sqref="C8:I10">
    <cfRule type="expression" dxfId="32" priority="3" stopIfTrue="1">
      <formula>AND(DAY(C8)&gt;=1,DAY(C8)&lt;=15)</formula>
    </cfRule>
  </conditionalFormatting>
  <conditionalFormatting sqref="C4:I9">
    <cfRule type="expression" dxfId="31" priority="5">
      <formula>VLOOKUP(DAY(C4),DíasDeTareas,1,FALSE)=DAY(C4)</formula>
    </cfRule>
  </conditionalFormatting>
  <conditionalFormatting sqref="B14:J29 B33:J33">
    <cfRule type="expression" dxfId="30" priority="2">
      <formula>B14&lt;&gt;""</formula>
    </cfRule>
  </conditionalFormatting>
  <conditionalFormatting sqref="B30">
    <cfRule type="expression" dxfId="29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view="pageBreakPreview" topLeftCell="A16" zoomScaleNormal="100" zoomScaleSheetLayoutView="100" zoomScalePageLayoutView="84" workbookViewId="0">
      <selection activeCell="B30" sqref="B30:J32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9" width="6.7109375" style="1" customWidth="1"/>
    <col min="10" max="10" width="8.28515625" style="1" customWidth="1"/>
    <col min="11" max="11" width="7.28515625" style="1" customWidth="1"/>
    <col min="12" max="12" width="3.85546875" customWidth="1"/>
    <col min="13" max="13" width="51.42578125" style="1" customWidth="1"/>
    <col min="14" max="14" width="18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>
      <c r="A1" s="2"/>
      <c r="B1" s="2"/>
      <c r="C1" s="2"/>
      <c r="D1" s="2"/>
      <c r="E1" s="2"/>
      <c r="F1" s="2"/>
      <c r="G1" s="2"/>
    </row>
    <row r="2" spans="1:14" ht="18" customHeight="1">
      <c r="A2" s="4"/>
      <c r="B2" s="38" t="s">
        <v>19</v>
      </c>
      <c r="C2" s="21"/>
      <c r="D2" s="21"/>
      <c r="E2" s="21"/>
      <c r="F2" s="21"/>
      <c r="G2" s="21"/>
      <c r="H2" s="21"/>
      <c r="I2" s="21"/>
      <c r="J2" s="22"/>
      <c r="K2" s="76" t="s">
        <v>2</v>
      </c>
      <c r="L2" s="77">
        <v>2013</v>
      </c>
      <c r="M2" s="77"/>
      <c r="N2" s="25"/>
    </row>
    <row r="3" spans="1:14" ht="21" customHeight="1">
      <c r="A3" s="4"/>
      <c r="B3" s="3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8"/>
      <c r="L3" s="79"/>
      <c r="M3" s="79"/>
      <c r="N3" s="26"/>
    </row>
    <row r="4" spans="1:14" ht="18" customHeight="1">
      <c r="A4" s="4"/>
      <c r="B4" s="39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80" t="s">
        <v>11</v>
      </c>
      <c r="L4" s="16"/>
      <c r="M4" s="81"/>
      <c r="N4" s="82"/>
    </row>
    <row r="5" spans="1:14" ht="18" customHeight="1">
      <c r="A5" s="4"/>
      <c r="B5" s="39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69"/>
      <c r="L5" s="106">
        <v>12</v>
      </c>
      <c r="M5" s="102" t="s">
        <v>28</v>
      </c>
      <c r="N5" s="103"/>
    </row>
    <row r="6" spans="1:14" ht="18" customHeight="1">
      <c r="A6" s="4"/>
      <c r="B6" s="39"/>
      <c r="C6" s="29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69"/>
      <c r="L6" s="107"/>
      <c r="M6" s="104"/>
      <c r="N6" s="105"/>
    </row>
    <row r="7" spans="1:14" ht="18" customHeight="1">
      <c r="A7" s="4"/>
      <c r="B7" s="39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>
        <v>19</v>
      </c>
      <c r="M7" s="92" t="s">
        <v>30</v>
      </c>
      <c r="N7" s="93"/>
    </row>
    <row r="8" spans="1:14" ht="18.75" customHeight="1">
      <c r="A8" s="4"/>
      <c r="B8" s="39"/>
      <c r="C8" s="10">
        <f>IF(DAY(AgoDom1)=1,AgoDom1+22,AgoDom1+29)</f>
        <v>43703</v>
      </c>
      <c r="D8" s="31">
        <f>IF(DAY(AgoDom1)=1,AgoDom1+23,AgoDom1+30)</f>
        <v>43704</v>
      </c>
      <c r="E8" s="3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/>
      <c r="M8" s="92"/>
      <c r="N8" s="93"/>
    </row>
    <row r="9" spans="1:14" ht="18" customHeight="1">
      <c r="A9" s="4"/>
      <c r="B9" s="39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32"/>
      <c r="N9" s="33"/>
    </row>
    <row r="10" spans="1:14" ht="18" customHeight="1">
      <c r="A10" s="4"/>
      <c r="B10" s="40"/>
      <c r="C10" s="23"/>
      <c r="D10" s="23"/>
      <c r="E10" s="23"/>
      <c r="F10" s="23"/>
      <c r="G10" s="23"/>
      <c r="H10" s="23"/>
      <c r="I10" s="23"/>
      <c r="J10" s="24"/>
      <c r="K10" s="68" t="s">
        <v>12</v>
      </c>
      <c r="L10" s="16"/>
      <c r="M10" s="34"/>
      <c r="N10" s="35"/>
    </row>
    <row r="11" spans="1:14" ht="18" customHeight="1">
      <c r="A11" s="4"/>
      <c r="B11" s="41" t="s">
        <v>10</v>
      </c>
      <c r="C11" s="42"/>
      <c r="D11" s="42"/>
      <c r="E11" s="42"/>
      <c r="F11" s="42"/>
      <c r="G11" s="42"/>
      <c r="H11" s="42"/>
      <c r="I11" s="42"/>
      <c r="J11" s="43"/>
      <c r="K11" s="69"/>
      <c r="L11" s="17">
        <v>13</v>
      </c>
      <c r="M11" s="92" t="s">
        <v>30</v>
      </c>
      <c r="N11" s="93"/>
    </row>
    <row r="12" spans="1:14" ht="18" customHeight="1">
      <c r="A12" s="4"/>
      <c r="B12" s="41"/>
      <c r="C12" s="42"/>
      <c r="D12" s="42"/>
      <c r="E12" s="42"/>
      <c r="F12" s="42"/>
      <c r="G12" s="42"/>
      <c r="H12" s="42"/>
      <c r="I12" s="42"/>
      <c r="J12" s="43"/>
      <c r="K12" s="69"/>
      <c r="L12" s="17"/>
      <c r="M12" s="36"/>
      <c r="N12" s="37"/>
    </row>
    <row r="13" spans="1:14" ht="18" customHeight="1">
      <c r="B13" s="3" t="s">
        <v>11</v>
      </c>
      <c r="C13" s="70" t="s">
        <v>12</v>
      </c>
      <c r="D13" s="72"/>
      <c r="E13" s="70" t="s">
        <v>13</v>
      </c>
      <c r="F13" s="72"/>
      <c r="G13" s="70" t="s">
        <v>14</v>
      </c>
      <c r="H13" s="72"/>
      <c r="I13" s="70" t="s">
        <v>15</v>
      </c>
      <c r="J13" s="71"/>
      <c r="K13" s="11"/>
      <c r="L13" s="17">
        <v>27</v>
      </c>
      <c r="M13" s="100" t="s">
        <v>29</v>
      </c>
      <c r="N13" s="101"/>
    </row>
    <row r="14" spans="1:14" ht="18" customHeight="1">
      <c r="B14" s="8"/>
      <c r="C14" s="44"/>
      <c r="D14" s="48"/>
      <c r="E14" s="44"/>
      <c r="F14" s="48"/>
      <c r="G14" s="44"/>
      <c r="H14" s="48"/>
      <c r="I14" s="44"/>
      <c r="J14" s="45"/>
      <c r="K14" s="11"/>
      <c r="L14" s="17"/>
      <c r="M14" s="36"/>
      <c r="N14" s="37"/>
    </row>
    <row r="15" spans="1:14" ht="18" customHeight="1">
      <c r="B15" s="6"/>
      <c r="C15" s="49"/>
      <c r="D15" s="50"/>
      <c r="E15" s="49"/>
      <c r="F15" s="50"/>
      <c r="G15" s="49"/>
      <c r="H15" s="50"/>
      <c r="I15" s="51"/>
      <c r="J15" s="52"/>
      <c r="K15" s="13"/>
      <c r="L15" s="19"/>
      <c r="M15" s="32"/>
      <c r="N15" s="33"/>
    </row>
    <row r="16" spans="1:14" ht="18" customHeight="1">
      <c r="B16" s="8"/>
      <c r="C16" s="44"/>
      <c r="D16" s="48"/>
      <c r="E16" s="44"/>
      <c r="F16" s="48"/>
      <c r="G16" s="44"/>
      <c r="H16" s="48"/>
      <c r="I16" s="53"/>
      <c r="J16" s="54"/>
      <c r="K16" s="85" t="s">
        <v>13</v>
      </c>
      <c r="L16" s="16"/>
      <c r="M16" s="34"/>
      <c r="N16" s="35"/>
    </row>
    <row r="17" spans="2:14" ht="18" customHeight="1">
      <c r="B17" s="6"/>
      <c r="C17" s="49"/>
      <c r="D17" s="50"/>
      <c r="E17" s="49"/>
      <c r="F17" s="50"/>
      <c r="G17" s="49"/>
      <c r="H17" s="50"/>
      <c r="I17" s="51"/>
      <c r="J17" s="52"/>
      <c r="K17" s="86"/>
      <c r="L17" s="17"/>
      <c r="M17" s="36"/>
      <c r="N17" s="37"/>
    </row>
    <row r="18" spans="2:14" ht="18" customHeight="1">
      <c r="B18" s="9"/>
      <c r="C18" s="55"/>
      <c r="D18" s="56"/>
      <c r="E18" s="55"/>
      <c r="F18" s="56"/>
      <c r="G18" s="55"/>
      <c r="H18" s="56"/>
      <c r="I18" s="55"/>
      <c r="J18" s="73"/>
      <c r="K18" s="86"/>
      <c r="L18" s="17"/>
      <c r="M18" s="36"/>
      <c r="N18" s="37"/>
    </row>
    <row r="19" spans="2:14" ht="18" customHeight="1">
      <c r="B19" s="6"/>
      <c r="C19" s="49"/>
      <c r="D19" s="50"/>
      <c r="E19" s="49"/>
      <c r="F19" s="50"/>
      <c r="G19" s="49"/>
      <c r="H19" s="50"/>
      <c r="I19" s="51"/>
      <c r="J19" s="52"/>
      <c r="K19" s="11"/>
      <c r="L19" s="17">
        <v>28</v>
      </c>
      <c r="M19" s="100" t="s">
        <v>31</v>
      </c>
      <c r="N19" s="101"/>
    </row>
    <row r="20" spans="2:14" ht="18" customHeight="1">
      <c r="B20" s="8"/>
      <c r="C20" s="44"/>
      <c r="D20" s="48"/>
      <c r="E20" s="44"/>
      <c r="F20" s="48"/>
      <c r="G20" s="44"/>
      <c r="H20" s="48"/>
      <c r="I20" s="44"/>
      <c r="J20" s="45"/>
      <c r="K20" s="11"/>
      <c r="L20" s="17"/>
      <c r="M20" s="36"/>
      <c r="N20" s="37"/>
    </row>
    <row r="21" spans="2:14" ht="18" customHeight="1">
      <c r="B21" s="6"/>
      <c r="C21" s="49"/>
      <c r="D21" s="50"/>
      <c r="E21" s="49"/>
      <c r="F21" s="50"/>
      <c r="G21" s="49"/>
      <c r="H21" s="50"/>
      <c r="I21" s="46"/>
      <c r="J21" s="47"/>
      <c r="K21" s="13"/>
      <c r="L21" s="19"/>
      <c r="M21" s="32"/>
      <c r="N21" s="33"/>
    </row>
    <row r="22" spans="2:14" ht="18" customHeight="1">
      <c r="B22" s="8"/>
      <c r="C22" s="44"/>
      <c r="D22" s="48"/>
      <c r="E22" s="44"/>
      <c r="F22" s="48"/>
      <c r="G22" s="44"/>
      <c r="H22" s="48"/>
      <c r="I22" s="44"/>
      <c r="J22" s="45"/>
      <c r="K22" s="85" t="s">
        <v>14</v>
      </c>
      <c r="L22" s="16"/>
      <c r="M22" s="34"/>
      <c r="N22" s="35"/>
    </row>
    <row r="23" spans="2:14" ht="18" customHeight="1">
      <c r="B23" s="6"/>
      <c r="C23" s="49"/>
      <c r="D23" s="50"/>
      <c r="E23" s="49"/>
      <c r="F23" s="50"/>
      <c r="G23" s="49"/>
      <c r="H23" s="50"/>
      <c r="I23" s="51"/>
      <c r="J23" s="52"/>
      <c r="K23" s="86"/>
      <c r="L23" s="17"/>
      <c r="M23" s="36"/>
      <c r="N23" s="37"/>
    </row>
    <row r="24" spans="2:14" ht="18" customHeight="1">
      <c r="B24" s="8"/>
      <c r="C24" s="44"/>
      <c r="D24" s="48"/>
      <c r="E24" s="44"/>
      <c r="F24" s="48"/>
      <c r="G24" s="44"/>
      <c r="H24" s="48"/>
      <c r="I24" s="44"/>
      <c r="J24" s="45"/>
      <c r="K24" s="86"/>
      <c r="L24" s="17">
        <v>15</v>
      </c>
      <c r="M24" s="92" t="s">
        <v>30</v>
      </c>
      <c r="N24" s="93"/>
    </row>
    <row r="25" spans="2:14" ht="18" customHeight="1">
      <c r="B25" s="6"/>
      <c r="C25" s="49"/>
      <c r="D25" s="50"/>
      <c r="E25" s="49"/>
      <c r="F25" s="50"/>
      <c r="G25" s="49"/>
      <c r="H25" s="50"/>
      <c r="I25" s="51"/>
      <c r="J25" s="52"/>
      <c r="K25" s="86"/>
      <c r="L25" s="17">
        <v>22</v>
      </c>
      <c r="M25" s="92" t="s">
        <v>30</v>
      </c>
      <c r="N25" s="93"/>
    </row>
    <row r="26" spans="2:14" ht="18" customHeight="1">
      <c r="B26" s="8"/>
      <c r="C26" s="44"/>
      <c r="D26" s="48"/>
      <c r="E26" s="44"/>
      <c r="F26" s="48"/>
      <c r="G26" s="44"/>
      <c r="H26" s="48"/>
      <c r="I26" s="44"/>
      <c r="J26" s="45"/>
      <c r="K26" s="11"/>
      <c r="L26" s="17">
        <v>29</v>
      </c>
      <c r="M26" s="92" t="s">
        <v>30</v>
      </c>
      <c r="N26" s="93"/>
    </row>
    <row r="27" spans="2:14" ht="18" customHeight="1">
      <c r="B27" s="6"/>
      <c r="C27" s="49"/>
      <c r="D27" s="50"/>
      <c r="E27" s="49"/>
      <c r="F27" s="50"/>
      <c r="G27" s="49"/>
      <c r="H27" s="50"/>
      <c r="I27" s="51"/>
      <c r="J27" s="52"/>
      <c r="K27" s="13"/>
      <c r="L27" s="19"/>
      <c r="M27" s="32"/>
      <c r="N27" s="33"/>
    </row>
    <row r="28" spans="2:14" ht="18" customHeight="1">
      <c r="B28" s="8"/>
      <c r="C28" s="44"/>
      <c r="D28" s="48"/>
      <c r="E28" s="44"/>
      <c r="F28" s="48"/>
      <c r="G28" s="44"/>
      <c r="H28" s="48"/>
      <c r="I28" s="44"/>
      <c r="J28" s="45"/>
      <c r="K28" s="68" t="s">
        <v>15</v>
      </c>
      <c r="L28" s="16"/>
      <c r="M28" s="34"/>
      <c r="N28" s="35"/>
    </row>
    <row r="29" spans="2:14" ht="18" customHeight="1">
      <c r="B29" s="6"/>
      <c r="C29" s="49"/>
      <c r="D29" s="50"/>
      <c r="E29" s="49"/>
      <c r="F29" s="50"/>
      <c r="G29" s="49"/>
      <c r="H29" s="50"/>
      <c r="I29" s="49"/>
      <c r="J29" s="67"/>
      <c r="K29" s="69"/>
      <c r="L29" s="17"/>
      <c r="M29" s="36"/>
      <c r="N29" s="37"/>
    </row>
    <row r="30" spans="2:14" ht="18" customHeight="1">
      <c r="B30" s="94" t="s">
        <v>27</v>
      </c>
      <c r="C30" s="95"/>
      <c r="D30" s="95"/>
      <c r="E30" s="95"/>
      <c r="F30" s="95"/>
      <c r="G30" s="95"/>
      <c r="H30" s="95"/>
      <c r="I30" s="95"/>
      <c r="J30" s="96"/>
      <c r="K30" s="69"/>
      <c r="L30" s="17">
        <v>16</v>
      </c>
      <c r="M30" s="92" t="s">
        <v>30</v>
      </c>
      <c r="N30" s="93"/>
    </row>
    <row r="31" spans="2:14" ht="18" customHeight="1">
      <c r="B31" s="97"/>
      <c r="C31" s="98"/>
      <c r="D31" s="98"/>
      <c r="E31" s="98"/>
      <c r="F31" s="98"/>
      <c r="G31" s="98"/>
      <c r="H31" s="98"/>
      <c r="I31" s="98"/>
      <c r="J31" s="99"/>
      <c r="K31" s="14"/>
      <c r="L31" s="17"/>
      <c r="M31" s="36"/>
      <c r="N31" s="37"/>
    </row>
    <row r="32" spans="2:14" ht="18" customHeight="1">
      <c r="B32" s="97"/>
      <c r="C32" s="98"/>
      <c r="D32" s="98"/>
      <c r="E32" s="98"/>
      <c r="F32" s="98"/>
      <c r="G32" s="98"/>
      <c r="H32" s="98"/>
      <c r="I32" s="98"/>
      <c r="J32" s="99"/>
      <c r="K32" s="14"/>
      <c r="L32" s="17"/>
      <c r="M32" s="36"/>
      <c r="N32" s="37"/>
    </row>
    <row r="33" spans="2:14" ht="18" customHeight="1">
      <c r="B33" s="7"/>
      <c r="C33" s="57"/>
      <c r="D33" s="58"/>
      <c r="E33" s="57"/>
      <c r="F33" s="58"/>
      <c r="G33" s="57"/>
      <c r="H33" s="58"/>
      <c r="I33" s="65"/>
      <c r="J33" s="66"/>
      <c r="K33" s="15"/>
      <c r="L33" s="20"/>
      <c r="M33" s="74"/>
      <c r="N33" s="75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7:N7"/>
    <mergeCell ref="M8:N8"/>
    <mergeCell ref="M9:N9"/>
    <mergeCell ref="K10:K12"/>
    <mergeCell ref="M5:N6"/>
    <mergeCell ref="L5:L6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28" priority="4" stopIfTrue="1">
      <formula>DAY(C4)&gt;8</formula>
    </cfRule>
  </conditionalFormatting>
  <conditionalFormatting sqref="C8:I10">
    <cfRule type="expression" dxfId="27" priority="3" stopIfTrue="1">
      <formula>AND(DAY(C8)&gt;=1,DAY(C8)&lt;=15)</formula>
    </cfRule>
  </conditionalFormatting>
  <conditionalFormatting sqref="C4:I9">
    <cfRule type="expression" dxfId="26" priority="5">
      <formula>VLOOKUP(DAY(C4),DíasDeTareas,1,FALSE)=DAY(C4)</formula>
    </cfRule>
  </conditionalFormatting>
  <conditionalFormatting sqref="B14:J29 B33:J33">
    <cfRule type="expression" dxfId="25" priority="2">
      <formula>B14&lt;&gt;""</formula>
    </cfRule>
  </conditionalFormatting>
  <conditionalFormatting sqref="B30">
    <cfRule type="expression" dxfId="24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AO33"/>
  <sheetViews>
    <sheetView showGridLines="0" topLeftCell="A4" zoomScale="80" zoomScaleNormal="80" zoomScalePageLayoutView="84" workbookViewId="0">
      <selection activeCell="M5" sqref="M5:N5"/>
    </sheetView>
  </sheetViews>
  <sheetFormatPr baseColWidth="10" defaultColWidth="8.7109375" defaultRowHeight="16.5" customHeight="1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/>
    <row r="2" spans="1:14" ht="18" customHeight="1">
      <c r="A2" s="4"/>
      <c r="B2" s="38" t="s">
        <v>18</v>
      </c>
      <c r="C2" s="21"/>
      <c r="D2" s="21"/>
      <c r="E2" s="21"/>
      <c r="F2" s="21"/>
      <c r="G2" s="21"/>
      <c r="H2" s="21"/>
      <c r="I2" s="21"/>
      <c r="J2" s="22"/>
      <c r="K2" s="76" t="s">
        <v>2</v>
      </c>
      <c r="L2" s="77">
        <v>2013</v>
      </c>
      <c r="M2" s="77"/>
      <c r="N2" s="25"/>
    </row>
    <row r="3" spans="1:14" ht="21" customHeight="1">
      <c r="A3" s="4"/>
      <c r="B3" s="3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8"/>
      <c r="L3" s="79"/>
      <c r="M3" s="79"/>
      <c r="N3" s="26"/>
    </row>
    <row r="4" spans="1:14" ht="18" customHeight="1">
      <c r="A4" s="4"/>
      <c r="B4" s="39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80" t="s">
        <v>11</v>
      </c>
      <c r="L4" s="16">
        <v>9</v>
      </c>
      <c r="M4" s="100" t="s">
        <v>32</v>
      </c>
      <c r="N4" s="101"/>
    </row>
    <row r="5" spans="1:14" ht="18" customHeight="1">
      <c r="A5" s="4"/>
      <c r="B5" s="39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69"/>
      <c r="L5" s="17"/>
      <c r="M5" s="100"/>
      <c r="N5" s="101"/>
    </row>
    <row r="6" spans="1:14" ht="18" customHeight="1">
      <c r="A6" s="4"/>
      <c r="B6" s="39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69"/>
      <c r="L6" s="17">
        <v>23</v>
      </c>
      <c r="M6" s="100" t="s">
        <v>32</v>
      </c>
      <c r="N6" s="101"/>
    </row>
    <row r="7" spans="1:14" ht="18" customHeight="1">
      <c r="A7" s="4"/>
      <c r="B7" s="39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>
        <v>30</v>
      </c>
      <c r="M7" s="100" t="s">
        <v>32</v>
      </c>
      <c r="N7" s="101"/>
    </row>
    <row r="8" spans="1:14" ht="18.75" customHeight="1">
      <c r="A8" s="4"/>
      <c r="B8" s="39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36"/>
      <c r="N8" s="37"/>
    </row>
    <row r="9" spans="1:14" ht="18" customHeight="1">
      <c r="A9" s="4"/>
      <c r="B9" s="39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32"/>
      <c r="N9" s="33"/>
    </row>
    <row r="10" spans="1:14" ht="18" customHeight="1">
      <c r="A10" s="4"/>
      <c r="B10" s="40"/>
      <c r="C10" s="23"/>
      <c r="D10" s="23"/>
      <c r="E10" s="23"/>
      <c r="F10" s="23"/>
      <c r="G10" s="23"/>
      <c r="H10" s="23"/>
      <c r="I10" s="23"/>
      <c r="J10" s="24"/>
      <c r="K10" s="68" t="s">
        <v>12</v>
      </c>
      <c r="L10" s="16">
        <v>3</v>
      </c>
      <c r="M10" s="100" t="s">
        <v>32</v>
      </c>
      <c r="N10" s="101"/>
    </row>
    <row r="11" spans="1:14" ht="18" customHeight="1">
      <c r="A11" s="4"/>
      <c r="B11" s="41" t="s">
        <v>10</v>
      </c>
      <c r="C11" s="42"/>
      <c r="D11" s="42"/>
      <c r="E11" s="42"/>
      <c r="F11" s="42"/>
      <c r="G11" s="42"/>
      <c r="H11" s="42"/>
      <c r="I11" s="42"/>
      <c r="J11" s="43"/>
      <c r="K11" s="69"/>
      <c r="L11" s="17">
        <v>10</v>
      </c>
      <c r="M11" s="100" t="s">
        <v>32</v>
      </c>
      <c r="N11" s="101"/>
    </row>
    <row r="12" spans="1:14" ht="18" customHeight="1">
      <c r="A12" s="4"/>
      <c r="B12" s="41"/>
      <c r="C12" s="42"/>
      <c r="D12" s="42"/>
      <c r="E12" s="42"/>
      <c r="F12" s="42"/>
      <c r="G12" s="42"/>
      <c r="H12" s="42"/>
      <c r="I12" s="42"/>
      <c r="J12" s="43"/>
      <c r="K12" s="69"/>
      <c r="L12" s="17">
        <v>17</v>
      </c>
      <c r="M12" s="100" t="s">
        <v>32</v>
      </c>
      <c r="N12" s="101"/>
    </row>
    <row r="13" spans="1:14" ht="18" customHeight="1">
      <c r="B13" s="3" t="s">
        <v>11</v>
      </c>
      <c r="C13" s="70" t="s">
        <v>12</v>
      </c>
      <c r="D13" s="72"/>
      <c r="E13" s="70" t="s">
        <v>13</v>
      </c>
      <c r="F13" s="72"/>
      <c r="G13" s="70" t="s">
        <v>14</v>
      </c>
      <c r="H13" s="72"/>
      <c r="I13" s="70" t="s">
        <v>15</v>
      </c>
      <c r="J13" s="71"/>
      <c r="K13" s="11"/>
      <c r="L13" s="17">
        <v>24</v>
      </c>
      <c r="M13" s="100" t="s">
        <v>33</v>
      </c>
      <c r="N13" s="101"/>
    </row>
    <row r="14" spans="1:14" ht="18" customHeight="1">
      <c r="B14" s="8"/>
      <c r="C14" s="44"/>
      <c r="D14" s="48"/>
      <c r="E14" s="44"/>
      <c r="F14" s="48"/>
      <c r="G14" s="44"/>
      <c r="H14" s="48"/>
      <c r="I14" s="44"/>
      <c r="J14" s="45"/>
      <c r="K14" s="11"/>
      <c r="L14" s="17"/>
      <c r="M14" s="36"/>
      <c r="N14" s="37"/>
    </row>
    <row r="15" spans="1:14" ht="18" customHeight="1">
      <c r="B15" s="6"/>
      <c r="C15" s="49"/>
      <c r="D15" s="50"/>
      <c r="E15" s="49"/>
      <c r="F15" s="50"/>
      <c r="G15" s="49"/>
      <c r="H15" s="50"/>
      <c r="I15" s="51"/>
      <c r="J15" s="52"/>
      <c r="K15" s="13"/>
      <c r="L15" s="19"/>
      <c r="M15" s="32"/>
      <c r="N15" s="33"/>
    </row>
    <row r="16" spans="1:14" ht="18" customHeight="1">
      <c r="B16" s="8"/>
      <c r="C16" s="44"/>
      <c r="D16" s="48"/>
      <c r="E16" s="44"/>
      <c r="F16" s="48"/>
      <c r="G16" s="44"/>
      <c r="H16" s="48"/>
      <c r="I16" s="53"/>
      <c r="J16" s="54"/>
      <c r="K16" s="85" t="s">
        <v>13</v>
      </c>
      <c r="L16" s="16">
        <v>4</v>
      </c>
      <c r="M16" s="100" t="s">
        <v>32</v>
      </c>
      <c r="N16" s="101"/>
    </row>
    <row r="17" spans="2:14" ht="18" customHeight="1">
      <c r="B17" s="6"/>
      <c r="C17" s="49"/>
      <c r="D17" s="50"/>
      <c r="E17" s="49"/>
      <c r="F17" s="50"/>
      <c r="G17" s="49"/>
      <c r="H17" s="50"/>
      <c r="I17" s="51"/>
      <c r="J17" s="52"/>
      <c r="K17" s="86"/>
      <c r="L17" s="17">
        <v>11</v>
      </c>
      <c r="M17" s="100" t="s">
        <v>32</v>
      </c>
      <c r="N17" s="101"/>
    </row>
    <row r="18" spans="2:14" ht="18" customHeight="1">
      <c r="B18" s="9"/>
      <c r="C18" s="55"/>
      <c r="D18" s="56"/>
      <c r="E18" s="55"/>
      <c r="F18" s="56"/>
      <c r="G18" s="55"/>
      <c r="H18" s="56"/>
      <c r="I18" s="55"/>
      <c r="J18" s="73"/>
      <c r="K18" s="86"/>
      <c r="L18" s="17">
        <v>18</v>
      </c>
      <c r="M18" s="100" t="s">
        <v>32</v>
      </c>
      <c r="N18" s="101"/>
    </row>
    <row r="19" spans="2:14" ht="18" customHeight="1">
      <c r="B19" s="6"/>
      <c r="C19" s="49"/>
      <c r="D19" s="50"/>
      <c r="E19" s="49"/>
      <c r="F19" s="50"/>
      <c r="G19" s="49"/>
      <c r="H19" s="50"/>
      <c r="I19" s="51"/>
      <c r="J19" s="52"/>
      <c r="K19" s="11"/>
      <c r="L19" s="17">
        <v>25</v>
      </c>
      <c r="M19" s="100" t="s">
        <v>32</v>
      </c>
      <c r="N19" s="101"/>
    </row>
    <row r="20" spans="2:14" ht="18" customHeight="1">
      <c r="B20" s="8"/>
      <c r="C20" s="44"/>
      <c r="D20" s="48"/>
      <c r="E20" s="44"/>
      <c r="F20" s="48"/>
      <c r="G20" s="44"/>
      <c r="H20" s="48"/>
      <c r="I20" s="44"/>
      <c r="J20" s="45"/>
      <c r="K20" s="11"/>
      <c r="L20" s="17"/>
      <c r="M20" s="36"/>
      <c r="N20" s="37"/>
    </row>
    <row r="21" spans="2:14" ht="18" customHeight="1">
      <c r="B21" s="6"/>
      <c r="C21" s="49"/>
      <c r="D21" s="50"/>
      <c r="E21" s="49"/>
      <c r="F21" s="50"/>
      <c r="G21" s="49"/>
      <c r="H21" s="50"/>
      <c r="I21" s="46"/>
      <c r="J21" s="47"/>
      <c r="K21" s="13"/>
      <c r="L21" s="19"/>
      <c r="M21" s="32"/>
      <c r="N21" s="33"/>
    </row>
    <row r="22" spans="2:14" ht="18" customHeight="1">
      <c r="B22" s="8"/>
      <c r="C22" s="44"/>
      <c r="D22" s="48"/>
      <c r="E22" s="44"/>
      <c r="F22" s="48"/>
      <c r="G22" s="44"/>
      <c r="H22" s="48"/>
      <c r="I22" s="44"/>
      <c r="J22" s="45"/>
      <c r="K22" s="85" t="s">
        <v>14</v>
      </c>
      <c r="L22" s="16"/>
      <c r="M22" s="34"/>
      <c r="N22" s="35"/>
    </row>
    <row r="23" spans="2:14" ht="18" customHeight="1">
      <c r="B23" s="6"/>
      <c r="C23" s="49"/>
      <c r="D23" s="50"/>
      <c r="E23" s="49"/>
      <c r="F23" s="50"/>
      <c r="G23" s="49"/>
      <c r="H23" s="50"/>
      <c r="I23" s="51"/>
      <c r="J23" s="52"/>
      <c r="K23" s="86"/>
      <c r="L23" s="17">
        <v>5</v>
      </c>
      <c r="M23" s="100" t="s">
        <v>32</v>
      </c>
      <c r="N23" s="101"/>
    </row>
    <row r="24" spans="2:14" ht="18" customHeight="1">
      <c r="B24" s="8"/>
      <c r="C24" s="44"/>
      <c r="D24" s="48"/>
      <c r="E24" s="44"/>
      <c r="F24" s="48"/>
      <c r="G24" s="44"/>
      <c r="H24" s="48"/>
      <c r="I24" s="44"/>
      <c r="J24" s="45"/>
      <c r="K24" s="86"/>
      <c r="L24" s="17">
        <v>12</v>
      </c>
      <c r="M24" s="100" t="s">
        <v>32</v>
      </c>
      <c r="N24" s="101"/>
    </row>
    <row r="25" spans="2:14" ht="18" customHeight="1">
      <c r="B25" s="6"/>
      <c r="C25" s="49"/>
      <c r="D25" s="50"/>
      <c r="E25" s="49"/>
      <c r="F25" s="50"/>
      <c r="G25" s="49"/>
      <c r="H25" s="50"/>
      <c r="I25" s="51"/>
      <c r="J25" s="52"/>
      <c r="K25" s="86"/>
      <c r="L25" s="17">
        <v>19</v>
      </c>
      <c r="M25" s="100" t="s">
        <v>32</v>
      </c>
      <c r="N25" s="101"/>
    </row>
    <row r="26" spans="2:14" ht="18" customHeight="1">
      <c r="B26" s="8"/>
      <c r="C26" s="44"/>
      <c r="D26" s="48"/>
      <c r="E26" s="44"/>
      <c r="F26" s="48"/>
      <c r="G26" s="44"/>
      <c r="H26" s="48"/>
      <c r="I26" s="44"/>
      <c r="J26" s="45"/>
      <c r="K26" s="11"/>
      <c r="L26" s="17">
        <v>26</v>
      </c>
      <c r="M26" s="100" t="s">
        <v>32</v>
      </c>
      <c r="N26" s="101"/>
    </row>
    <row r="27" spans="2:14" ht="18" customHeight="1">
      <c r="B27" s="6"/>
      <c r="C27" s="49"/>
      <c r="D27" s="50"/>
      <c r="E27" s="49"/>
      <c r="F27" s="50"/>
      <c r="G27" s="49"/>
      <c r="H27" s="50"/>
      <c r="I27" s="51"/>
      <c r="J27" s="52"/>
      <c r="K27" s="13"/>
      <c r="L27" s="19"/>
      <c r="M27" s="32"/>
      <c r="N27" s="33"/>
    </row>
    <row r="28" spans="2:14" ht="18" customHeight="1">
      <c r="B28" s="8"/>
      <c r="C28" s="44"/>
      <c r="D28" s="48"/>
      <c r="E28" s="44"/>
      <c r="F28" s="48"/>
      <c r="G28" s="44"/>
      <c r="H28" s="48"/>
      <c r="I28" s="44"/>
      <c r="J28" s="45"/>
      <c r="K28" s="68" t="s">
        <v>15</v>
      </c>
      <c r="L28" s="16">
        <v>6</v>
      </c>
      <c r="M28" s="100" t="s">
        <v>32</v>
      </c>
      <c r="N28" s="101"/>
    </row>
    <row r="29" spans="2:14" ht="18" customHeight="1">
      <c r="B29" s="6"/>
      <c r="C29" s="49"/>
      <c r="D29" s="50"/>
      <c r="E29" s="49"/>
      <c r="F29" s="50"/>
      <c r="G29" s="49"/>
      <c r="H29" s="50"/>
      <c r="I29" s="49"/>
      <c r="J29" s="67"/>
      <c r="K29" s="69"/>
      <c r="L29" s="17">
        <v>13</v>
      </c>
      <c r="M29" s="100" t="s">
        <v>32</v>
      </c>
      <c r="N29" s="101"/>
    </row>
    <row r="30" spans="2:14" ht="18" customHeight="1">
      <c r="B30" s="94" t="s">
        <v>27</v>
      </c>
      <c r="C30" s="95"/>
      <c r="D30" s="95"/>
      <c r="E30" s="95"/>
      <c r="F30" s="95"/>
      <c r="G30" s="95"/>
      <c r="H30" s="95"/>
      <c r="I30" s="95"/>
      <c r="J30" s="96"/>
      <c r="K30" s="69"/>
      <c r="L30" s="17">
        <v>20</v>
      </c>
      <c r="M30" s="100" t="s">
        <v>32</v>
      </c>
      <c r="N30" s="101"/>
    </row>
    <row r="31" spans="2:14" ht="18" customHeight="1">
      <c r="B31" s="97"/>
      <c r="C31" s="98"/>
      <c r="D31" s="98"/>
      <c r="E31" s="98"/>
      <c r="F31" s="98"/>
      <c r="G31" s="98"/>
      <c r="H31" s="98"/>
      <c r="I31" s="98"/>
      <c r="J31" s="99"/>
      <c r="K31" s="14"/>
      <c r="L31" s="17">
        <v>27</v>
      </c>
      <c r="M31" s="100" t="s">
        <v>32</v>
      </c>
      <c r="N31" s="101"/>
    </row>
    <row r="32" spans="2:14" ht="18" customHeight="1">
      <c r="B32" s="97"/>
      <c r="C32" s="98"/>
      <c r="D32" s="98"/>
      <c r="E32" s="98"/>
      <c r="F32" s="98"/>
      <c r="G32" s="98"/>
      <c r="H32" s="98"/>
      <c r="I32" s="98"/>
      <c r="J32" s="99"/>
      <c r="K32" s="14"/>
      <c r="L32" s="17"/>
      <c r="M32" s="36"/>
      <c r="N32" s="37"/>
    </row>
    <row r="33" spans="2:14" ht="18" customHeight="1">
      <c r="B33" s="7"/>
      <c r="C33" s="57"/>
      <c r="D33" s="58"/>
      <c r="E33" s="57"/>
      <c r="F33" s="58"/>
      <c r="G33" s="57"/>
      <c r="H33" s="58"/>
      <c r="I33" s="65"/>
      <c r="J33" s="66"/>
      <c r="K33" s="15"/>
      <c r="L33" s="20"/>
      <c r="M33" s="74"/>
      <c r="N33" s="75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23" priority="5" stopIfTrue="1">
      <formula>DAY(C4)&gt;8</formula>
    </cfRule>
  </conditionalFormatting>
  <conditionalFormatting sqref="C8:I10">
    <cfRule type="expression" dxfId="22" priority="4" stopIfTrue="1">
      <formula>AND(DAY(C8)&gt;=1,DAY(C8)&lt;=15)</formula>
    </cfRule>
  </conditionalFormatting>
  <conditionalFormatting sqref="C4:I9">
    <cfRule type="expression" dxfId="21" priority="6">
      <formula>VLOOKUP(DAY(C4),DíasDeTareas,1,FALSE)=DAY(C4)</formula>
    </cfRule>
  </conditionalFormatting>
  <conditionalFormatting sqref="B14:J29 B33:J33">
    <cfRule type="expression" dxfId="20" priority="3">
      <formula>B14&lt;&gt;""</formula>
    </cfRule>
  </conditionalFormatting>
  <conditionalFormatting sqref="B30">
    <cfRule type="expression" dxfId="19" priority="2">
      <formula>B30&lt;&gt;""</formula>
    </cfRule>
  </conditionalFormatting>
  <conditionalFormatting sqref="B30">
    <cfRule type="expression" dxfId="18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37</vt:i4>
      </vt:variant>
    </vt:vector>
  </HeadingPairs>
  <TitlesOfParts>
    <vt:vector size="50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Hoja1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catastro</cp:lastModifiedBy>
  <cp:lastPrinted>2019-10-10T16:56:23Z</cp:lastPrinted>
  <dcterms:created xsi:type="dcterms:W3CDTF">2015-11-13T18:10:35Z</dcterms:created>
  <dcterms:modified xsi:type="dcterms:W3CDTF">2019-11-13T23:40:40Z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