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-288" yWindow="0" windowWidth="19440" windowHeight="11772" tabRatio="690" firstSheet="9" activeTab="9"/>
  </bookViews>
  <sheets>
    <sheet name="Enero" sheetId="1" state="hidden" r:id="rId1"/>
    <sheet name="Febrero" sheetId="6" state="hidden" r:id="rId2"/>
    <sheet name="Marzo" sheetId="7" state="hidden" r:id="rId3"/>
    <sheet name="Abril" sheetId="8" state="hidden" r:id="rId4"/>
    <sheet name="Mayo" sheetId="9" state="hidden" r:id="rId5"/>
    <sheet name="Junio" sheetId="10" state="hidden" r:id="rId6"/>
    <sheet name="Julio" sheetId="11" state="hidden" r:id="rId7"/>
    <sheet name="Agosto" sheetId="12" state="hidden" r:id="rId8"/>
    <sheet name="Septiembre" sheetId="13" state="hidden" r:id="rId9"/>
    <sheet name="ENERO 2019" sheetId="17" r:id="rId10"/>
    <sheet name="FEBRERO 2019" sheetId="18" r:id="rId11"/>
    <sheet name="MARZO 2019" sheetId="19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8">Septiembre!$L$4:$M$8</definedName>
    <definedName name="TablaFechasImportantes">Enero!$L$4:$M$8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" i="17" l="1"/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<sst xmlns="http://schemas.openxmlformats.org/spreadsheetml/2006/main" count="298" uniqueCount="73">
  <si>
    <t>S</t>
  </si>
  <si>
    <t>M</t>
  </si>
  <si>
    <t>8:00</t>
  </si>
  <si>
    <t>TAREAS</t>
  </si>
  <si>
    <t>ENERO</t>
  </si>
  <si>
    <t>L</t>
  </si>
  <si>
    <t>X</t>
  </si>
  <si>
    <t>J</t>
  </si>
  <si>
    <t>V</t>
  </si>
  <si>
    <t>D</t>
  </si>
  <si>
    <t>HORARIO SEMANAL</t>
  </si>
  <si>
    <t>LUN</t>
  </si>
  <si>
    <t>MAR</t>
  </si>
  <si>
    <t>MIÉ</t>
  </si>
  <si>
    <t>JUE</t>
  </si>
  <si>
    <t>VIE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</si>
  <si>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</si>
  <si>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</si>
  <si>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</si>
  <si>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</si>
  <si>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</si>
  <si>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</si>
  <si>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</si>
  <si>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</si>
  <si>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SÁB</t>
  </si>
  <si>
    <t>DOM</t>
  </si>
  <si>
    <t>VIERNES</t>
  </si>
  <si>
    <t>JUNTA PAG WEB/ ENTREGA PROGRAMA COMUNICAIÓN SOCIAL/ TESORERIA MATERIAL PARTIDAS</t>
  </si>
  <si>
    <t>CUBRIR EVENTO DE PEDIDA DE ROSCA Y CARNAVAL</t>
  </si>
  <si>
    <t>BOLETIN, AVISO PRIVACIDAD TRANSPARECIA/AGENDA ÁREA/ DISEÑO:URGENCIA, COMERCIANTESEDICIÓN VIDEOS/DISEÑO DE HUIZAPOLES</t>
  </si>
  <si>
    <t>ENTREGA DE 1ERA PARTE GACETA/DISEÑO DE BITACORA/ 3BANNER/FOTOS GACETA/PERIFONEO</t>
  </si>
  <si>
    <t>FOTOGRAFIA/ VIDEO  RESPUESTA CARNABAL</t>
  </si>
  <si>
    <t>Terminar recolección información para gaceta/impresión credenciales/fotografia 3 escuelas/ entrega papeleria y oficios</t>
  </si>
  <si>
    <t>AGENDAR  ENTREVISTAS/ REVISÓN DE PUBLICACIONES/DISEÑO CURSO PRIMEROS AUXILIOS/PUBLICACION FACE7 NETREGA MOBILIARI FOTOS/ENTREGA DE PATRULLA PERIFONEO</t>
  </si>
  <si>
    <t>RECEPCIÓN DE INFORMACION DE LA GACETA/ GENERA INF. PAG. WEB</t>
  </si>
  <si>
    <t>RECEPCION DE PUBLICACIONES/ ORGANIZAR ACT. DEL ÁREA/ REPORTE  TRANSP/PEGAR LONASVIDEO DE HACIENDA/VIDEO ESCUELA RICKY/PERIFONEO RESPUESTA</t>
  </si>
  <si>
    <t>GECETA  NOTAS,CREDENCIALES,DISEÑO E IMAGEN NEGOCIOS CENTRO/RECOGER MATERIAL PAPELERIA/ FOTOGRAFIA EN ESCUELA/  ORDENAR  OFICIOS</t>
  </si>
  <si>
    <t>FICHAS TÉCNICAS PARA PRESIDENCI/GACETA/CAMPAÑAS COSNTANTGES/DISEÑO CHIRIMIA/FOTO TAMAZULITA/ENTREGA DE OFICIO</t>
  </si>
  <si>
    <t>GACETA/PERIFONEO/ATENCION FUNCIONARIOS/PETICION EQUIPO PARA C.S./ CREDENCIALES PERSONAL/CARTEL INSUMOS/FOTOS PARA  LA GACETA/PUBLICACION FACE/</t>
  </si>
  <si>
    <t>GACETA/MEMEBRESTES HERRERIA/CREDENCIALES PERSONAL/IMPRESIÓN VARIAS HERRAMIENTAS PUBLICITARIAS/EDICION FOTOS/PERIFONEO TAMAZULITA</t>
  </si>
  <si>
    <t>FICHAS PRESIDENCIA/PETICION INF. PAG WEB/PERIFONEO EN TAMAZULITA/LOGOTOPO CENTRO/GIF/SESION CABILDO/PUBLICACION FACE</t>
  </si>
  <si>
    <t>PAG WEB NOTAS /LOGOTIPOS COMERCIOS/FICHAS VACANTES/TARJETAS PRESENTACIÓN/CONTESTAR MSJ FACE/ORG.VIDEOS SECIONPERIFONEO/ENTREGA OFICIO</t>
  </si>
  <si>
    <t>LOGO CENTRO/REVISON DE DOCUMENTOS FUNCIONARISO/BANNER CARNAVAL/ENTREGA INVITACIONES/ENTREGA CREDENCIALMSJ FACE</t>
  </si>
  <si>
    <t>DISEÑO LONA DE FOMENTO/3 IMPRESIONES/SUBIR ARCHIVOS A LA NUBE/FOTOGRAFIA ESCUELAS/MSJ FACE/PEGAR  AVISOS VITRINA/</t>
  </si>
  <si>
    <t>ENTREGA REPORTES A CONTRALORIA/REPORTE DE NOTAS/ RECABAR INFORMACION PAG WEB</t>
  </si>
  <si>
    <t>ACTUALIZACION DE BASES DATOS/ DISEÑO D FORMATOS/LOGOTIPOS/ ACTUALIZAR LOS PERIFONEOS</t>
  </si>
  <si>
    <t>PAG WEB NOTAS /LOGOTIPOS COMERCIOS/FICHAS VACANTES/CONTESTAR MSJ FACE/ORG.VIDEOS SECIONPERIFONEO/ENTREGA OFICIO</t>
  </si>
  <si>
    <t>TRABAJO ADMINISTRATIVO/ DISEÑO/ ORGANIZACIÓN DE  FELICITACIONES</t>
  </si>
  <si>
    <t>FOTOGRAFIA PARA PAG. WEB/CONTESTACIÓN MSJ DE FACE/ PERIFONEO TAMAZULITA/TRABAJO PAG. WEB</t>
  </si>
  <si>
    <t>DISEÑO PARA FOTOS/ LONAS/ DISEÑO PROGRAMAS SOCIALES/LOSGOS/ FOTO CASA CULTURA7 EDICIÓN FOTOGRAFIAeNTREGA DE PERIODICOS/ TRABAJO ADMINISTRATIVO</t>
  </si>
  <si>
    <t>REVISIÓN DE CEAMPAÑA DEL DENGUE BANNER / DISEÑO BANNER ZUMBA/OERIFONEO GANADEROS TECOI</t>
  </si>
  <si>
    <t>DISEÑO / FOTOS REGIORES/PUBLICACIÓN CASTIG/ FOTO RICKY GANADEROS/ CARTAS DE FELICITACION/ /PERIFONEO CABECERA MUNICIPAL/ RECEOCIÓN DE  SOLICITUDES</t>
  </si>
  <si>
    <t>3 DISEÑOS/ PAG. WEB PERIFONEO EXPO GANADERA</t>
  </si>
  <si>
    <t>3 DISEÑOS/ PAG. WEB /  ACT. ADMINISTRATIVAS EXPO-</t>
  </si>
  <si>
    <t>DISEÑO/PERIFONEO/ACT. ADMINISTRATIVAS</t>
  </si>
  <si>
    <t>1 DISEÑO/ ACT. ADMINISTRATIVAS</t>
  </si>
  <si>
    <t>ACT. ADMINISTRATIVA/ INICIO DE EXPOGANADERA/ FOTO/VIDEO</t>
  </si>
  <si>
    <t>FOTO EN  LA TARDE/ orgenizacion perifoneo/revisión reconocimientos/ organización publicaciones1 diseño, Publicación bannerperifoneo de serv. Nacion</t>
  </si>
  <si>
    <t>Publicación diseño/ fotos Publicaciones face/ act. Administrativas</t>
  </si>
  <si>
    <t>felicitaciones de marzo/ reporte estadistico feb/ organización del área y horarios/ fotos</t>
  </si>
  <si>
    <t>suspensión actividades</t>
  </si>
  <si>
    <t>diseño/ act. Administrativas/ fotografia</t>
  </si>
  <si>
    <t xml:space="preserve">Fotografia </t>
  </si>
  <si>
    <t>Foto expoganadera</t>
  </si>
  <si>
    <t>Foto/ diseño carnaval</t>
  </si>
  <si>
    <t>Perifoneo de los servidores de la nacion</t>
  </si>
  <si>
    <t>Fotogtrafia</t>
  </si>
  <si>
    <t>PERIFONEO  / REYES / ENTREGA DE AGENDA/DISEÑO EXTERNO/BANNER INE/ CREDENCIAL DEP/PERSONALIZADORES HACIENDA/ VIDEOS EDITAR</t>
  </si>
  <si>
    <t>VIER</t>
  </si>
  <si>
    <t>DISEÑO/ TRABAJO ADMINISTRATIVO/EDICIÓN FOTOS/CASTING/PERIFONEO</t>
  </si>
  <si>
    <t>BANNER/ADMIISTRACION/DISEÑO</t>
  </si>
  <si>
    <t>ADMINISTRACION/DISEÑO</t>
  </si>
  <si>
    <t>ACT. ADMINISTRATIVAS Y DISEÑO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</si>
</sst>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d"/>
  </numFmts>
  <fonts count="60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sz val="10"/>
      <color rgb="FFFF0000"/>
      <name val="Arial"/>
      <family val="2"/>
      <scheme val="minor"/>
    </font>
    <font>
      <b/>
      <sz val="24"/>
      <color rgb="FFFF0000"/>
      <name val="Arial"/>
      <family val="2"/>
      <scheme val="major"/>
    </font>
    <font>
      <b/>
      <sz val="17"/>
      <color rgb="FFFF0000"/>
      <name val="Arial"/>
      <family val="2"/>
      <scheme val="major"/>
    </font>
    <font>
      <sz val="10"/>
      <color rgb="FFFF0000"/>
      <name val="Arial"/>
      <family val="2"/>
      <scheme val="major"/>
    </font>
    <font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ajor"/>
    </font>
    <font>
      <b/>
      <sz val="10"/>
      <color rgb="FFFF0000"/>
      <name val="Arial"/>
      <family val="2"/>
      <scheme val="minor"/>
    </font>
    <font>
      <b/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in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sz val="12"/>
      <color rgb="FFFF0000"/>
      <name val="Arial"/>
      <family val="2"/>
      <scheme val="major"/>
    </font>
    <font>
      <sz val="12"/>
      <color rgb="FFFF000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sz val="10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9"/>
      <name val="Arial Narrow"/>
      <family val="2"/>
    </font>
    <font>
      <sz val="5"/>
      <name val="Arial"/>
      <family val="2"/>
      <scheme val="minor"/>
    </font>
    <font>
      <sz val="5"/>
      <name val="Arial Narrow"/>
      <family val="2"/>
    </font>
    <font>
      <sz val="5"/>
      <color rgb="FFFF0000"/>
      <name val="Arial"/>
      <family val="2"/>
      <scheme val="minor"/>
    </font>
    <font>
      <sz val="5"/>
      <color theme="1"/>
      <name val="Arial"/>
      <family val="2"/>
      <scheme val="minor"/>
    </font>
    <font>
      <sz val="9"/>
      <name val="Arial"/>
      <family val="2"/>
      <scheme val="minor"/>
    </font>
    <font>
      <sz val="8"/>
      <color rgb="FFFF0000"/>
      <name val="Arial"/>
      <family val="2"/>
      <scheme val="minor"/>
    </font>
    <font>
      <sz val="9"/>
      <color rgb="FFFF0000"/>
      <name val="Arial"/>
      <family val="2"/>
      <scheme val="minor"/>
    </font>
    <font>
      <sz val="9"/>
      <color theme="1"/>
      <name val="Arial"/>
      <family val="2"/>
      <scheme val="minor"/>
    </font>
    <font>
      <b/>
      <sz val="9"/>
      <color rgb="FFFF0000"/>
      <name val="Arial"/>
      <family val="2"/>
      <scheme val="major"/>
    </font>
    <font>
      <sz val="9"/>
      <color rgb="FFFF0000"/>
      <name val="Arial"/>
      <family val="2"/>
      <scheme val="major"/>
    </font>
    <font>
      <b/>
      <sz val="9"/>
      <name val="Arial"/>
      <family val="2"/>
      <scheme val="minor"/>
    </font>
    <font>
      <b/>
      <sz val="9"/>
      <color rgb="FFFF0000"/>
      <name val="Arial"/>
      <family val="2"/>
      <scheme val="minor"/>
    </font>
    <font>
      <b/>
      <sz val="8"/>
      <color rgb="FFFF0000"/>
      <name val="Arial"/>
      <family val="2"/>
      <scheme val="major"/>
    </font>
    <font>
      <b/>
      <sz val="8"/>
      <color rgb="FFFF0000"/>
      <name val="Arial"/>
      <family val="2"/>
      <scheme val="minor"/>
    </font>
    <font>
      <b/>
      <sz val="5"/>
      <color rgb="FFFF0000"/>
      <name val="Arial"/>
      <family val="2"/>
      <scheme val="major"/>
    </font>
    <font>
      <sz val="5"/>
      <color rgb="FFFF0000"/>
      <name val="Arial"/>
      <family val="2"/>
      <scheme val="major"/>
    </font>
    <font>
      <b/>
      <sz val="5"/>
      <name val="Arial"/>
      <family val="2"/>
      <scheme val="minor"/>
    </font>
    <font>
      <b/>
      <sz val="5"/>
      <color rgb="FFFF0000"/>
      <name val="Arial"/>
      <family val="2"/>
      <scheme val="minor"/>
    </font>
    <font>
      <sz val="5"/>
      <color theme="3" tint="-0.249977111117893"/>
      <name val="Arial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</fills>
  <borders count="55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4" tint="0.79998168889431442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/>
      <diagonal/>
    </border>
    <border>
      <left/>
      <right style="thin">
        <color theme="4" tint="0.79985961485641044"/>
      </right>
      <top/>
      <bottom/>
      <diagonal/>
    </border>
  </borders>
  <cellStyleXfs count="6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  <xf numFmtId="44" fontId="38" fillId="0" borderId="0" applyFont="0" applyFill="0" applyBorder="0" applyAlignment="0" applyProtection="0"/>
  </cellStyleXfs>
  <cellXfs count="283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23" fillId="0" borderId="0" xfId="0" applyFont="1"/>
    <xf numFmtId="0" fontId="23" fillId="0" borderId="9" xfId="0" applyFont="1" applyBorder="1"/>
    <xf numFmtId="0" fontId="23" fillId="0" borderId="40" xfId="0" applyFont="1" applyBorder="1"/>
    <xf numFmtId="0" fontId="23" fillId="0" borderId="41" xfId="0" applyFont="1" applyBorder="1"/>
    <xf numFmtId="0" fontId="23" fillId="0" borderId="43" xfId="0" applyFont="1" applyBorder="1"/>
    <xf numFmtId="0" fontId="26" fillId="0" borderId="0" xfId="0" applyFont="1" applyFill="1" applyBorder="1" applyAlignment="1">
      <alignment horizontal="center" vertical="center"/>
    </xf>
    <xf numFmtId="0" fontId="23" fillId="0" borderId="16" xfId="0" applyFont="1" applyBorder="1"/>
    <xf numFmtId="164" fontId="27" fillId="0" borderId="0" xfId="0" applyNumberFormat="1" applyFont="1" applyFill="1" applyBorder="1" applyAlignment="1">
      <alignment horizontal="center" vertical="center" wrapText="1"/>
    </xf>
    <xf numFmtId="164" fontId="30" fillId="0" borderId="14" xfId="0" applyNumberFormat="1" applyFont="1" applyFill="1" applyBorder="1" applyAlignment="1">
      <alignment horizontal="left" vertical="center" wrapText="1" indent="1"/>
    </xf>
    <xf numFmtId="0" fontId="23" fillId="4" borderId="8" xfId="0" applyFont="1" applyFill="1" applyBorder="1" applyAlignment="1">
      <alignment horizontal="left" indent="1"/>
    </xf>
    <xf numFmtId="49" fontId="32" fillId="5" borderId="8" xfId="0" applyNumberFormat="1" applyFont="1" applyFill="1" applyBorder="1" applyAlignment="1">
      <alignment horizontal="left" indent="1"/>
    </xf>
    <xf numFmtId="0" fontId="33" fillId="5" borderId="21" xfId="0" applyFont="1" applyFill="1" applyBorder="1" applyAlignment="1">
      <alignment horizontal="left" vertical="top" indent="1"/>
    </xf>
    <xf numFmtId="49" fontId="32" fillId="5" borderId="24" xfId="0" applyNumberFormat="1" applyFont="1" applyFill="1" applyBorder="1" applyAlignment="1">
      <alignment horizontal="left" indent="1"/>
    </xf>
    <xf numFmtId="0" fontId="39" fillId="0" borderId="0" xfId="0" applyFont="1"/>
    <xf numFmtId="0" fontId="43" fillId="0" borderId="0" xfId="0" applyFont="1"/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17" fillId="5" borderId="10" xfId="0" applyNumberFormat="1" applyFont="1" applyFill="1" applyBorder="1" applyAlignment="1">
      <alignment horizontal="left" indent="1"/>
    </xf>
    <xf numFmtId="49" fontId="17" fillId="5" borderId="16" xfId="0" applyNumberFormat="1" applyFont="1" applyFill="1" applyBorder="1" applyAlignment="1">
      <alignment horizontal="left" indent="1"/>
    </xf>
    <xf numFmtId="0" fontId="15" fillId="5" borderId="27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33" fillId="5" borderId="22" xfId="0" applyFont="1" applyFill="1" applyBorder="1" applyAlignment="1">
      <alignment horizontal="left" vertical="top" indent="1"/>
    </xf>
    <xf numFmtId="0" fontId="33" fillId="5" borderId="48" xfId="0" applyFont="1" applyFill="1" applyBorder="1" applyAlignment="1">
      <alignment horizontal="left" vertical="top" indent="1"/>
    </xf>
    <xf numFmtId="0" fontId="33" fillId="5" borderId="23" xfId="0" applyFont="1" applyFill="1" applyBorder="1" applyAlignment="1">
      <alignment horizontal="left" vertical="top" indent="1"/>
    </xf>
    <xf numFmtId="49" fontId="32" fillId="5" borderId="10" xfId="0" applyNumberFormat="1" applyFont="1" applyFill="1" applyBorder="1" applyAlignment="1">
      <alignment horizontal="left" indent="1"/>
    </xf>
    <xf numFmtId="49" fontId="32" fillId="5" borderId="0" xfId="0" applyNumberFormat="1" applyFont="1" applyFill="1" applyBorder="1" applyAlignment="1">
      <alignment horizontal="left" indent="1"/>
    </xf>
    <xf numFmtId="49" fontId="32" fillId="5" borderId="6" xfId="0" applyNumberFormat="1" applyFont="1" applyFill="1" applyBorder="1" applyAlignment="1">
      <alignment horizontal="left" indent="1"/>
    </xf>
    <xf numFmtId="49" fontId="32" fillId="5" borderId="25" xfId="0" applyNumberFormat="1" applyFont="1" applyFill="1" applyBorder="1" applyAlignment="1">
      <alignment horizontal="left" indent="1"/>
    </xf>
    <xf numFmtId="49" fontId="32" fillId="5" borderId="46" xfId="0" applyNumberFormat="1" applyFont="1" applyFill="1" applyBorder="1" applyAlignment="1">
      <alignment horizontal="left" indent="1"/>
    </xf>
    <xf numFmtId="49" fontId="32" fillId="5" borderId="26" xfId="0" applyNumberFormat="1" applyFont="1" applyFill="1" applyBorder="1" applyAlignment="1">
      <alignment horizontal="left" indent="1"/>
    </xf>
    <xf numFmtId="0" fontId="31" fillId="0" borderId="39" xfId="0" applyFont="1" applyBorder="1" applyAlignment="1">
      <alignment horizontal="left" vertical="center"/>
    </xf>
    <xf numFmtId="0" fontId="31" fillId="0" borderId="40" xfId="0" applyFont="1" applyBorder="1" applyAlignment="1">
      <alignment horizontal="left" vertical="center"/>
    </xf>
    <xf numFmtId="0" fontId="31" fillId="0" borderId="7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/>
    </xf>
    <xf numFmtId="0" fontId="24" fillId="0" borderId="39" xfId="0" applyFont="1" applyFill="1" applyBorder="1" applyAlignment="1">
      <alignment horizontal="center" vertical="center" textRotation="90"/>
    </xf>
    <xf numFmtId="0" fontId="24" fillId="0" borderId="7" xfId="0" applyFont="1" applyFill="1" applyBorder="1" applyAlignment="1">
      <alignment horizontal="center" vertical="center" textRotation="90"/>
    </xf>
    <xf numFmtId="0" fontId="24" fillId="0" borderId="42" xfId="0" applyFont="1" applyFill="1" applyBorder="1" applyAlignment="1">
      <alignment horizontal="center" vertical="center" textRotation="90"/>
    </xf>
    <xf numFmtId="49" fontId="32" fillId="5" borderId="45" xfId="0" applyNumberFormat="1" applyFont="1" applyFill="1" applyBorder="1" applyAlignment="1">
      <alignment horizontal="center" vertical="top" wrapText="1"/>
    </xf>
    <xf numFmtId="0" fontId="0" fillId="0" borderId="46" xfId="0" applyBorder="1"/>
    <xf numFmtId="0" fontId="0" fillId="0" borderId="7" xfId="0" applyBorder="1"/>
    <xf numFmtId="0" fontId="0" fillId="0" borderId="0" xfId="0"/>
    <xf numFmtId="0" fontId="0" fillId="0" borderId="47" xfId="0" applyBorder="1"/>
    <xf numFmtId="0" fontId="0" fillId="0" borderId="48" xfId="0" applyBorder="1"/>
    <xf numFmtId="49" fontId="32" fillId="5" borderId="49" xfId="0" applyNumberFormat="1" applyFont="1" applyFill="1" applyBorder="1" applyAlignment="1">
      <alignment horizontal="left" indent="1"/>
    </xf>
    <xf numFmtId="49" fontId="32" fillId="5" borderId="50" xfId="0" applyNumberFormat="1" applyFont="1" applyFill="1" applyBorder="1" applyAlignment="1">
      <alignment horizontal="left" indent="1"/>
    </xf>
    <xf numFmtId="49" fontId="32" fillId="5" borderId="51" xfId="0" applyNumberFormat="1" applyFont="1" applyFill="1" applyBorder="1" applyAlignment="1">
      <alignment horizontal="left" indent="1"/>
    </xf>
    <xf numFmtId="0" fontId="25" fillId="0" borderId="33" xfId="0" applyFont="1" applyBorder="1" applyAlignment="1">
      <alignment horizontal="left" vertical="center" indent="2"/>
    </xf>
    <xf numFmtId="0" fontId="25" fillId="0" borderId="34" xfId="0" applyFont="1" applyBorder="1" applyAlignment="1">
      <alignment horizontal="left" vertical="center" indent="2"/>
    </xf>
    <xf numFmtId="0" fontId="23" fillId="4" borderId="10" xfId="0" applyFont="1" applyFill="1" applyBorder="1" applyAlignment="1">
      <alignment horizontal="left" indent="1"/>
    </xf>
    <xf numFmtId="0" fontId="23" fillId="4" borderId="6" xfId="0" applyFont="1" applyFill="1" applyBorder="1" applyAlignment="1">
      <alignment horizontal="left" indent="1"/>
    </xf>
    <xf numFmtId="0" fontId="23" fillId="4" borderId="0" xfId="0" applyFont="1" applyFill="1" applyBorder="1" applyAlignment="1">
      <alignment horizontal="left" indent="1"/>
    </xf>
    <xf numFmtId="0" fontId="47" fillId="0" borderId="0" xfId="0" applyFont="1"/>
    <xf numFmtId="0" fontId="49" fillId="0" borderId="39" xfId="0" applyFont="1" applyFill="1" applyBorder="1" applyAlignment="1">
      <alignment horizontal="center" vertical="center" textRotation="90"/>
    </xf>
    <xf numFmtId="0" fontId="47" fillId="0" borderId="40" xfId="0" applyFont="1" applyBorder="1"/>
    <xf numFmtId="0" fontId="47" fillId="0" borderId="41" xfId="0" applyFont="1" applyBorder="1"/>
    <xf numFmtId="0" fontId="49" fillId="0" borderId="33" xfId="0" applyFont="1" applyBorder="1" applyAlignment="1">
      <alignment horizontal="left" vertical="center" indent="2"/>
    </xf>
    <xf numFmtId="0" fontId="49" fillId="0" borderId="34" xfId="0" applyFont="1" applyBorder="1" applyAlignment="1">
      <alignment horizontal="left" vertical="center" indent="2"/>
    </xf>
    <xf numFmtId="0" fontId="47" fillId="0" borderId="43" xfId="0" applyFont="1" applyBorder="1"/>
    <xf numFmtId="0" fontId="49" fillId="0" borderId="7" xfId="0" applyFont="1" applyFill="1" applyBorder="1" applyAlignment="1">
      <alignment horizontal="center" vertical="center" textRotation="90"/>
    </xf>
    <xf numFmtId="0" fontId="50" fillId="0" borderId="0" xfId="0" applyFont="1" applyFill="1" applyBorder="1" applyAlignment="1">
      <alignment horizontal="center" vertical="center"/>
    </xf>
    <xf numFmtId="0" fontId="47" fillId="0" borderId="16" xfId="0" applyFont="1" applyBorder="1"/>
    <xf numFmtId="0" fontId="49" fillId="0" borderId="30" xfId="0" applyFont="1" applyBorder="1" applyAlignment="1">
      <alignment horizontal="left" vertical="center" indent="2"/>
    </xf>
    <xf numFmtId="0" fontId="49" fillId="0" borderId="31" xfId="0" applyFont="1" applyBorder="1" applyAlignment="1">
      <alignment horizontal="left" vertical="center" indent="2"/>
    </xf>
    <xf numFmtId="0" fontId="47" fillId="0" borderId="44" xfId="0" applyFont="1" applyBorder="1"/>
    <xf numFmtId="164" fontId="47" fillId="0" borderId="0" xfId="0" applyNumberFormat="1" applyFont="1" applyFill="1" applyBorder="1" applyAlignment="1">
      <alignment horizontal="center" vertical="center" wrapText="1"/>
    </xf>
    <xf numFmtId="0" fontId="49" fillId="0" borderId="33" xfId="0" applyFont="1" applyBorder="1" applyAlignment="1">
      <alignment horizontal="right" vertical="center" textRotation="90"/>
    </xf>
    <xf numFmtId="0" fontId="49" fillId="0" borderId="29" xfId="0" applyFont="1" applyBorder="1" applyAlignment="1">
      <alignment horizontal="right" vertical="center" textRotation="90"/>
    </xf>
    <xf numFmtId="0" fontId="49" fillId="0" borderId="0" xfId="0" applyFont="1" applyBorder="1" applyAlignment="1">
      <alignment horizontal="right" vertical="center" textRotation="90"/>
    </xf>
    <xf numFmtId="44" fontId="47" fillId="0" borderId="16" xfId="5" applyNumberFormat="1" applyFont="1" applyBorder="1"/>
    <xf numFmtId="0" fontId="52" fillId="0" borderId="0" xfId="0" applyFont="1" applyBorder="1" applyAlignment="1">
      <alignment horizontal="right" vertical="center"/>
    </xf>
    <xf numFmtId="0" fontId="49" fillId="0" borderId="42" xfId="0" applyFont="1" applyFill="1" applyBorder="1" applyAlignment="1">
      <alignment horizontal="center" vertical="center" textRotation="90"/>
    </xf>
    <xf numFmtId="164" fontId="52" fillId="0" borderId="14" xfId="0" applyNumberFormat="1" applyFont="1" applyFill="1" applyBorder="1" applyAlignment="1">
      <alignment horizontal="left" vertical="center" wrapText="1" indent="1"/>
    </xf>
    <xf numFmtId="0" fontId="47" fillId="0" borderId="15" xfId="0" applyFont="1" applyBorder="1"/>
    <xf numFmtId="0" fontId="49" fillId="0" borderId="36" xfId="0" applyFont="1" applyBorder="1" applyAlignment="1">
      <alignment horizontal="right" vertical="center" textRotation="90"/>
    </xf>
    <xf numFmtId="0" fontId="52" fillId="0" borderId="39" xfId="0" applyFont="1" applyBorder="1" applyAlignment="1">
      <alignment horizontal="left" vertical="center"/>
    </xf>
    <xf numFmtId="0" fontId="52" fillId="0" borderId="40" xfId="0" applyFont="1" applyBorder="1" applyAlignment="1">
      <alignment horizontal="left" vertical="center"/>
    </xf>
    <xf numFmtId="0" fontId="52" fillId="0" borderId="41" xfId="0" applyFont="1" applyBorder="1" applyAlignment="1">
      <alignment horizontal="left" vertical="center"/>
    </xf>
    <xf numFmtId="0" fontId="52" fillId="0" borderId="7" xfId="0" applyFont="1" applyBorder="1" applyAlignment="1">
      <alignment horizontal="left" vertical="center"/>
    </xf>
    <xf numFmtId="0" fontId="52" fillId="0" borderId="0" xfId="0" applyFont="1" applyBorder="1" applyAlignment="1">
      <alignment horizontal="left" vertical="center"/>
    </xf>
    <xf numFmtId="0" fontId="52" fillId="0" borderId="16" xfId="0" applyFont="1" applyBorder="1" applyAlignment="1">
      <alignment horizontal="left" vertical="center"/>
    </xf>
    <xf numFmtId="0" fontId="47" fillId="4" borderId="8" xfId="0" applyFont="1" applyFill="1" applyBorder="1" applyAlignment="1">
      <alignment horizontal="left" indent="1"/>
    </xf>
    <xf numFmtId="0" fontId="47" fillId="4" borderId="10" xfId="0" applyFont="1" applyFill="1" applyBorder="1" applyAlignment="1">
      <alignment horizontal="left" indent="1"/>
    </xf>
    <xf numFmtId="0" fontId="47" fillId="4" borderId="6" xfId="0" applyFont="1" applyFill="1" applyBorder="1" applyAlignment="1">
      <alignment horizontal="left" indent="1"/>
    </xf>
    <xf numFmtId="0" fontId="47" fillId="4" borderId="0" xfId="0" applyFont="1" applyFill="1" applyBorder="1" applyAlignment="1">
      <alignment horizontal="left" indent="1"/>
    </xf>
    <xf numFmtId="49" fontId="52" fillId="5" borderId="8" xfId="0" applyNumberFormat="1" applyFont="1" applyFill="1" applyBorder="1" applyAlignment="1">
      <alignment horizontal="left" indent="1"/>
    </xf>
    <xf numFmtId="0" fontId="47" fillId="5" borderId="21" xfId="0" applyFont="1" applyFill="1" applyBorder="1" applyAlignment="1">
      <alignment horizontal="left" vertical="top" indent="1"/>
    </xf>
    <xf numFmtId="0" fontId="47" fillId="5" borderId="22" xfId="0" applyFont="1" applyFill="1" applyBorder="1" applyAlignment="1">
      <alignment horizontal="left" vertical="top" indent="1"/>
    </xf>
    <xf numFmtId="0" fontId="47" fillId="5" borderId="23" xfId="0" applyFont="1" applyFill="1" applyBorder="1" applyAlignment="1">
      <alignment horizontal="left" vertical="top" indent="1"/>
    </xf>
    <xf numFmtId="0" fontId="47" fillId="5" borderId="48" xfId="0" applyFont="1" applyFill="1" applyBorder="1" applyAlignment="1">
      <alignment horizontal="left" vertical="top" indent="1"/>
    </xf>
    <xf numFmtId="0" fontId="52" fillId="0" borderId="4" xfId="0" applyFont="1" applyBorder="1" applyAlignment="1">
      <alignment horizontal="right" vertical="center"/>
    </xf>
    <xf numFmtId="49" fontId="52" fillId="5" borderId="25" xfId="0" applyNumberFormat="1" applyFont="1" applyFill="1" applyBorder="1" applyAlignment="1">
      <alignment horizontal="left" indent="1"/>
    </xf>
    <xf numFmtId="49" fontId="52" fillId="5" borderId="26" xfId="0" applyNumberFormat="1" applyFont="1" applyFill="1" applyBorder="1" applyAlignment="1">
      <alignment horizontal="left" indent="1"/>
    </xf>
    <xf numFmtId="49" fontId="52" fillId="5" borderId="46" xfId="0" applyNumberFormat="1" applyFont="1" applyFill="1" applyBorder="1" applyAlignment="1">
      <alignment horizontal="left" indent="1"/>
    </xf>
    <xf numFmtId="0" fontId="49" fillId="0" borderId="36" xfId="0" applyFont="1" applyBorder="1" applyAlignment="1">
      <alignment vertical="center" textRotation="90"/>
    </xf>
    <xf numFmtId="0" fontId="49" fillId="0" borderId="29" xfId="0" applyFont="1" applyBorder="1" applyAlignment="1">
      <alignment vertical="center" textRotation="90"/>
    </xf>
    <xf numFmtId="49" fontId="52" fillId="5" borderId="24" xfId="0" applyNumberFormat="1" applyFont="1" applyFill="1" applyBorder="1" applyAlignment="1">
      <alignment horizontal="left" indent="1"/>
    </xf>
    <xf numFmtId="49" fontId="52" fillId="5" borderId="49" xfId="0" applyNumberFormat="1" applyFont="1" applyFill="1" applyBorder="1" applyAlignment="1">
      <alignment horizontal="left" indent="1"/>
    </xf>
    <xf numFmtId="49" fontId="52" fillId="5" borderId="50" xfId="0" applyNumberFormat="1" applyFont="1" applyFill="1" applyBorder="1" applyAlignment="1">
      <alignment horizontal="left" indent="1"/>
    </xf>
    <xf numFmtId="49" fontId="52" fillId="5" borderId="51" xfId="0" applyNumberFormat="1" applyFont="1" applyFill="1" applyBorder="1" applyAlignment="1">
      <alignment horizontal="left" indent="1"/>
    </xf>
    <xf numFmtId="49" fontId="52" fillId="5" borderId="45" xfId="0" applyNumberFormat="1" applyFont="1" applyFill="1" applyBorder="1" applyAlignment="1">
      <alignment horizontal="center" vertical="top" wrapText="1"/>
    </xf>
    <xf numFmtId="0" fontId="48" fillId="0" borderId="46" xfId="0" applyFont="1" applyBorder="1"/>
    <xf numFmtId="0" fontId="48" fillId="0" borderId="28" xfId="0" applyFont="1" applyBorder="1"/>
    <xf numFmtId="0" fontId="50" fillId="0" borderId="0" xfId="0" applyFont="1" applyBorder="1" applyAlignment="1">
      <alignment horizontal="right" vertical="center" textRotation="90"/>
    </xf>
    <xf numFmtId="0" fontId="48" fillId="0" borderId="7" xfId="0" applyFont="1" applyBorder="1"/>
    <xf numFmtId="0" fontId="48" fillId="0" borderId="0" xfId="0" applyFont="1"/>
    <xf numFmtId="0" fontId="48" fillId="0" borderId="16" xfId="0" applyFont="1" applyBorder="1"/>
    <xf numFmtId="0" fontId="48" fillId="0" borderId="47" xfId="0" applyFont="1" applyBorder="1"/>
    <xf numFmtId="0" fontId="48" fillId="0" borderId="48" xfId="0" applyFont="1" applyBorder="1"/>
    <xf numFmtId="0" fontId="48" fillId="0" borderId="27" xfId="0" applyFont="1" applyBorder="1"/>
    <xf numFmtId="164" fontId="47" fillId="0" borderId="14" xfId="0" applyNumberFormat="1" applyFont="1" applyFill="1" applyBorder="1" applyAlignment="1">
      <alignment horizontal="right" vertical="center"/>
    </xf>
    <xf numFmtId="0" fontId="53" fillId="0" borderId="0" xfId="0" applyFont="1" applyBorder="1" applyAlignment="1">
      <alignment horizontal="right" vertical="center" textRotation="90"/>
    </xf>
    <xf numFmtId="0" fontId="54" fillId="0" borderId="39" xfId="0" applyFont="1" applyBorder="1" applyAlignment="1">
      <alignment horizontal="left" vertical="center"/>
    </xf>
    <xf numFmtId="0" fontId="54" fillId="0" borderId="40" xfId="0" applyFont="1" applyBorder="1" applyAlignment="1">
      <alignment horizontal="left" vertical="center"/>
    </xf>
    <xf numFmtId="0" fontId="54" fillId="0" borderId="41" xfId="0" applyFont="1" applyBorder="1" applyAlignment="1">
      <alignment horizontal="left" vertical="center"/>
    </xf>
    <xf numFmtId="0" fontId="54" fillId="0" borderId="7" xfId="0" applyFont="1" applyBorder="1" applyAlignment="1">
      <alignment horizontal="left" vertical="center"/>
    </xf>
    <xf numFmtId="0" fontId="54" fillId="0" borderId="0" xfId="0" applyFont="1" applyBorder="1" applyAlignment="1">
      <alignment horizontal="left" vertical="center"/>
    </xf>
    <xf numFmtId="0" fontId="54" fillId="0" borderId="16" xfId="0" applyFont="1" applyBorder="1" applyAlignment="1">
      <alignment horizontal="left" vertical="center"/>
    </xf>
    <xf numFmtId="49" fontId="54" fillId="5" borderId="8" xfId="0" applyNumberFormat="1" applyFont="1" applyFill="1" applyBorder="1" applyAlignment="1">
      <alignment horizontal="left" indent="1"/>
    </xf>
    <xf numFmtId="0" fontId="46" fillId="5" borderId="21" xfId="0" applyFont="1" applyFill="1" applyBorder="1" applyAlignment="1">
      <alignment horizontal="left" vertical="top" indent="1"/>
    </xf>
    <xf numFmtId="0" fontId="46" fillId="5" borderId="22" xfId="0" applyFont="1" applyFill="1" applyBorder="1" applyAlignment="1">
      <alignment horizontal="left" vertical="top" indent="1"/>
    </xf>
    <xf numFmtId="0" fontId="46" fillId="5" borderId="23" xfId="0" applyFont="1" applyFill="1" applyBorder="1" applyAlignment="1">
      <alignment horizontal="left" vertical="top" indent="1"/>
    </xf>
    <xf numFmtId="0" fontId="46" fillId="5" borderId="48" xfId="0" applyFont="1" applyFill="1" applyBorder="1" applyAlignment="1">
      <alignment horizontal="left" vertical="top" indent="1"/>
    </xf>
    <xf numFmtId="49" fontId="54" fillId="5" borderId="25" xfId="0" applyNumberFormat="1" applyFont="1" applyFill="1" applyBorder="1" applyAlignment="1">
      <alignment horizontal="left" indent="1"/>
    </xf>
    <xf numFmtId="49" fontId="54" fillId="5" borderId="26" xfId="0" applyNumberFormat="1" applyFont="1" applyFill="1" applyBorder="1" applyAlignment="1">
      <alignment horizontal="left" indent="1"/>
    </xf>
    <xf numFmtId="49" fontId="54" fillId="5" borderId="46" xfId="0" applyNumberFormat="1" applyFont="1" applyFill="1" applyBorder="1" applyAlignment="1">
      <alignment horizontal="left" indent="1"/>
    </xf>
    <xf numFmtId="49" fontId="54" fillId="5" borderId="24" xfId="0" applyNumberFormat="1" applyFont="1" applyFill="1" applyBorder="1" applyAlignment="1">
      <alignment horizontal="left" indent="1"/>
    </xf>
    <xf numFmtId="49" fontId="54" fillId="5" borderId="49" xfId="0" applyNumberFormat="1" applyFont="1" applyFill="1" applyBorder="1" applyAlignment="1">
      <alignment horizontal="left" indent="1"/>
    </xf>
    <xf numFmtId="49" fontId="54" fillId="5" borderId="50" xfId="0" applyNumberFormat="1" applyFont="1" applyFill="1" applyBorder="1" applyAlignment="1">
      <alignment horizontal="left" indent="1"/>
    </xf>
    <xf numFmtId="49" fontId="54" fillId="5" borderId="51" xfId="0" applyNumberFormat="1" applyFont="1" applyFill="1" applyBorder="1" applyAlignment="1">
      <alignment horizontal="left" indent="1"/>
    </xf>
    <xf numFmtId="49" fontId="54" fillId="5" borderId="45" xfId="0" applyNumberFormat="1" applyFont="1" applyFill="1" applyBorder="1" applyAlignment="1">
      <alignment horizontal="center" vertical="top" wrapText="1"/>
    </xf>
    <xf numFmtId="0" fontId="39" fillId="0" borderId="46" xfId="0" applyFont="1" applyBorder="1"/>
    <xf numFmtId="0" fontId="39" fillId="0" borderId="28" xfId="0" applyFont="1" applyBorder="1"/>
    <xf numFmtId="0" fontId="39" fillId="0" borderId="7" xfId="0" applyFont="1" applyBorder="1"/>
    <xf numFmtId="0" fontId="39" fillId="0" borderId="0" xfId="0" applyFont="1"/>
    <xf numFmtId="0" fontId="39" fillId="0" borderId="16" xfId="0" applyFont="1" applyBorder="1"/>
    <xf numFmtId="0" fontId="39" fillId="0" borderId="47" xfId="0" applyFont="1" applyBorder="1"/>
    <xf numFmtId="0" fontId="39" fillId="0" borderId="48" xfId="0" applyFont="1" applyBorder="1"/>
    <xf numFmtId="0" fontId="39" fillId="0" borderId="27" xfId="0" applyFont="1" applyBorder="1"/>
    <xf numFmtId="0" fontId="55" fillId="0" borderId="39" xfId="0" applyFont="1" applyFill="1" applyBorder="1" applyAlignment="1">
      <alignment horizontal="center" vertical="center" textRotation="90"/>
    </xf>
    <xf numFmtId="0" fontId="43" fillId="0" borderId="40" xfId="0" applyFont="1" applyBorder="1"/>
    <xf numFmtId="0" fontId="43" fillId="0" borderId="41" xfId="0" applyFont="1" applyBorder="1"/>
    <xf numFmtId="0" fontId="55" fillId="0" borderId="33" xfId="0" applyFont="1" applyBorder="1" applyAlignment="1">
      <alignment horizontal="left" vertical="center" indent="2"/>
    </xf>
    <xf numFmtId="0" fontId="55" fillId="0" borderId="34" xfId="0" applyFont="1" applyBorder="1" applyAlignment="1">
      <alignment horizontal="left" vertical="center" indent="2"/>
    </xf>
    <xf numFmtId="0" fontId="43" fillId="0" borderId="43" xfId="0" applyFont="1" applyBorder="1"/>
    <xf numFmtId="0" fontId="55" fillId="0" borderId="7" xfId="0" applyFont="1" applyFill="1" applyBorder="1" applyAlignment="1">
      <alignment horizontal="center" vertical="center" textRotation="90"/>
    </xf>
    <xf numFmtId="0" fontId="56" fillId="0" borderId="0" xfId="0" applyFont="1" applyFill="1" applyBorder="1" applyAlignment="1">
      <alignment horizontal="center" vertical="center"/>
    </xf>
    <xf numFmtId="0" fontId="43" fillId="0" borderId="16" xfId="0" applyFont="1" applyBorder="1"/>
    <xf numFmtId="0" fontId="55" fillId="0" borderId="30" xfId="0" applyFont="1" applyBorder="1" applyAlignment="1">
      <alignment horizontal="left" vertical="center" indent="2"/>
    </xf>
    <xf numFmtId="0" fontId="55" fillId="0" borderId="31" xfId="0" applyFont="1" applyBorder="1" applyAlignment="1">
      <alignment horizontal="left" vertical="center" indent="2"/>
    </xf>
    <xf numFmtId="0" fontId="43" fillId="0" borderId="44" xfId="0" applyFont="1" applyBorder="1"/>
    <xf numFmtId="164" fontId="43" fillId="0" borderId="0" xfId="0" applyNumberFormat="1" applyFont="1" applyFill="1" applyBorder="1" applyAlignment="1">
      <alignment horizontal="center" vertical="center" wrapText="1"/>
    </xf>
    <xf numFmtId="0" fontId="55" fillId="0" borderId="33" xfId="0" applyFont="1" applyBorder="1" applyAlignment="1">
      <alignment horizontal="right" vertical="center" textRotation="90"/>
    </xf>
    <xf numFmtId="0" fontId="55" fillId="0" borderId="29" xfId="0" applyFont="1" applyBorder="1" applyAlignment="1">
      <alignment horizontal="right" vertical="center" textRotation="90"/>
    </xf>
    <xf numFmtId="0" fontId="55" fillId="0" borderId="0" xfId="0" applyFont="1" applyBorder="1" applyAlignment="1">
      <alignment horizontal="right" vertical="center" textRotation="90"/>
    </xf>
    <xf numFmtId="44" fontId="43" fillId="0" borderId="16" xfId="5" applyNumberFormat="1" applyFont="1" applyBorder="1"/>
    <xf numFmtId="0" fontId="58" fillId="0" borderId="0" xfId="0" applyFont="1" applyBorder="1" applyAlignment="1">
      <alignment horizontal="right" vertical="center"/>
    </xf>
    <xf numFmtId="0" fontId="55" fillId="0" borderId="42" xfId="0" applyFont="1" applyFill="1" applyBorder="1" applyAlignment="1">
      <alignment horizontal="center" vertical="center" textRotation="90"/>
    </xf>
    <xf numFmtId="164" fontId="58" fillId="0" borderId="14" xfId="0" applyNumberFormat="1" applyFont="1" applyFill="1" applyBorder="1" applyAlignment="1">
      <alignment horizontal="left" vertical="center" wrapText="1" indent="1"/>
    </xf>
    <xf numFmtId="0" fontId="43" fillId="0" borderId="15" xfId="0" applyFont="1" applyBorder="1"/>
    <xf numFmtId="0" fontId="55" fillId="0" borderId="36" xfId="0" applyFont="1" applyBorder="1" applyAlignment="1">
      <alignment horizontal="right" vertical="center" textRotation="90"/>
    </xf>
    <xf numFmtId="0" fontId="43" fillId="4" borderId="8" xfId="0" applyFont="1" applyFill="1" applyBorder="1" applyAlignment="1">
      <alignment horizontal="left" indent="1"/>
    </xf>
    <xf numFmtId="0" fontId="43" fillId="4" borderId="10" xfId="0" applyFont="1" applyFill="1" applyBorder="1" applyAlignment="1">
      <alignment horizontal="left" indent="1"/>
    </xf>
    <xf numFmtId="0" fontId="43" fillId="4" borderId="6" xfId="0" applyFont="1" applyFill="1" applyBorder="1" applyAlignment="1">
      <alignment horizontal="left" indent="1"/>
    </xf>
    <xf numFmtId="0" fontId="43" fillId="4" borderId="0" xfId="0" applyFont="1" applyFill="1" applyBorder="1" applyAlignment="1">
      <alignment horizontal="left" indent="1"/>
    </xf>
    <xf numFmtId="0" fontId="58" fillId="0" borderId="4" xfId="0" applyFont="1" applyBorder="1" applyAlignment="1">
      <alignment horizontal="right" vertical="center"/>
    </xf>
    <xf numFmtId="0" fontId="55" fillId="0" borderId="36" xfId="0" applyFont="1" applyBorder="1" applyAlignment="1">
      <alignment vertical="center" textRotation="90"/>
    </xf>
    <xf numFmtId="0" fontId="55" fillId="0" borderId="29" xfId="0" applyFont="1" applyBorder="1" applyAlignment="1">
      <alignment vertical="center" textRotation="90"/>
    </xf>
    <xf numFmtId="0" fontId="56" fillId="0" borderId="0" xfId="0" applyFont="1" applyBorder="1" applyAlignment="1">
      <alignment horizontal="right" vertical="center" textRotation="90"/>
    </xf>
    <xf numFmtId="0" fontId="45" fillId="0" borderId="34" xfId="0" applyFont="1" applyBorder="1" applyAlignment="1">
      <alignment horizontal="left"/>
    </xf>
    <xf numFmtId="0" fontId="45" fillId="0" borderId="53" xfId="0" applyFont="1" applyBorder="1" applyAlignment="1">
      <alignment horizontal="left"/>
    </xf>
    <xf numFmtId="0" fontId="45" fillId="0" borderId="52" xfId="0" applyFont="1" applyBorder="1" applyAlignment="1">
      <alignment horizontal="left"/>
    </xf>
    <xf numFmtId="0" fontId="40" fillId="0" borderId="52" xfId="0" applyFont="1" applyBorder="1" applyAlignment="1">
      <alignment horizontal="left"/>
    </xf>
    <xf numFmtId="164" fontId="45" fillId="0" borderId="52" xfId="0" applyNumberFormat="1" applyFont="1" applyFill="1" applyBorder="1" applyAlignment="1">
      <alignment horizontal="left"/>
    </xf>
    <xf numFmtId="0" fontId="47" fillId="0" borderId="52" xfId="0" applyFont="1" applyBorder="1"/>
    <xf numFmtId="0" fontId="48" fillId="0" borderId="52" xfId="0" applyFont="1" applyBorder="1"/>
    <xf numFmtId="0" fontId="51" fillId="0" borderId="0" xfId="0" applyFont="1" applyBorder="1" applyAlignment="1">
      <alignment horizontal="center"/>
    </xf>
    <xf numFmtId="0" fontId="51" fillId="0" borderId="52" xfId="0" applyFont="1" applyBorder="1" applyAlignment="1">
      <alignment horizontal="center"/>
    </xf>
    <xf numFmtId="164" fontId="51" fillId="0" borderId="52" xfId="0" applyNumberFormat="1" applyFont="1" applyFill="1" applyBorder="1" applyAlignment="1">
      <alignment horizontal="center"/>
    </xf>
    <xf numFmtId="0" fontId="57" fillId="0" borderId="0" xfId="0" applyFont="1" applyBorder="1" applyAlignment="1">
      <alignment horizontal="center"/>
    </xf>
    <xf numFmtId="0" fontId="41" fillId="0" borderId="34" xfId="0" applyFont="1" applyBorder="1" applyAlignment="1">
      <alignment horizontal="left"/>
    </xf>
    <xf numFmtId="0" fontId="41" fillId="0" borderId="53" xfId="0" applyFont="1" applyBorder="1" applyAlignment="1">
      <alignment horizontal="left"/>
    </xf>
    <xf numFmtId="0" fontId="57" fillId="0" borderId="52" xfId="0" applyFont="1" applyBorder="1" applyAlignment="1">
      <alignment horizontal="center"/>
    </xf>
    <xf numFmtId="0" fontId="43" fillId="0" borderId="52" xfId="0" applyFont="1" applyBorder="1"/>
    <xf numFmtId="0" fontId="41" fillId="0" borderId="52" xfId="0" applyFont="1" applyBorder="1" applyAlignment="1">
      <alignment horizontal="left"/>
    </xf>
    <xf numFmtId="0" fontId="42" fillId="0" borderId="52" xfId="0" applyFont="1" applyBorder="1" applyAlignment="1">
      <alignment horizontal="left"/>
    </xf>
    <xf numFmtId="0" fontId="44" fillId="0" borderId="52" xfId="0" applyFont="1" applyBorder="1"/>
    <xf numFmtId="0" fontId="41" fillId="0" borderId="52" xfId="0" applyFont="1" applyBorder="1"/>
    <xf numFmtId="0" fontId="58" fillId="0" borderId="0" xfId="0" applyFont="1"/>
    <xf numFmtId="164" fontId="43" fillId="0" borderId="52" xfId="0" applyNumberFormat="1" applyFont="1" applyFill="1" applyBorder="1" applyAlignment="1">
      <alignment horizontal="center" vertical="center" wrapText="1"/>
    </xf>
    <xf numFmtId="0" fontId="59" fillId="6" borderId="52" xfId="0" applyFont="1" applyFill="1" applyBorder="1" applyAlignment="1">
      <alignment horizontal="center" vertical="center"/>
    </xf>
    <xf numFmtId="0" fontId="23" fillId="0" borderId="0" xfId="0" applyFont="1" applyBorder="1"/>
    <xf numFmtId="44" fontId="23" fillId="0" borderId="0" xfId="5" applyNumberFormat="1" applyFont="1" applyBorder="1"/>
    <xf numFmtId="0" fontId="23" fillId="0" borderId="14" xfId="0" applyFont="1" applyBorder="1"/>
    <xf numFmtId="0" fontId="0" fillId="0" borderId="0" xfId="0" applyBorder="1"/>
    <xf numFmtId="0" fontId="25" fillId="0" borderId="29" xfId="0" applyFont="1" applyBorder="1" applyAlignment="1">
      <alignment horizontal="left" vertical="center" indent="2"/>
    </xf>
    <xf numFmtId="0" fontId="25" fillId="0" borderId="0" xfId="0" applyFont="1" applyBorder="1" applyAlignment="1">
      <alignment horizontal="left" vertical="center" indent="2"/>
    </xf>
    <xf numFmtId="0" fontId="23" fillId="0" borderId="54" xfId="0" applyFont="1" applyBorder="1"/>
    <xf numFmtId="0" fontId="28" fillId="0" borderId="52" xfId="0" applyFont="1" applyBorder="1" applyAlignment="1">
      <alignment horizontal="right" vertical="center" textRotation="90"/>
    </xf>
    <xf numFmtId="0" fontId="36" fillId="0" borderId="52" xfId="0" applyFont="1" applyBorder="1" applyAlignment="1">
      <alignment horizontal="center"/>
    </xf>
    <xf numFmtId="0" fontId="37" fillId="0" borderId="52" xfId="0" applyFont="1" applyBorder="1" applyAlignment="1">
      <alignment horizontal="left"/>
    </xf>
    <xf numFmtId="0" fontId="28" fillId="0" borderId="52" xfId="0" applyFont="1" applyBorder="1" applyAlignment="1">
      <alignment horizontal="right" vertical="center" textRotation="90"/>
    </xf>
    <xf numFmtId="0" fontId="29" fillId="0" borderId="52" xfId="0" applyFont="1" applyBorder="1" applyAlignment="1">
      <alignment horizontal="right" vertical="center"/>
    </xf>
    <xf numFmtId="0" fontId="28" fillId="0" borderId="52" xfId="0" applyFont="1" applyBorder="1" applyAlignment="1">
      <alignment vertical="center" textRotation="90"/>
    </xf>
    <xf numFmtId="0" fontId="34" fillId="0" borderId="52" xfId="0" applyFont="1" applyBorder="1" applyAlignment="1">
      <alignment horizontal="right" vertical="center" textRotation="90"/>
    </xf>
    <xf numFmtId="164" fontId="35" fillId="0" borderId="52" xfId="0" applyNumberFormat="1" applyFont="1" applyFill="1" applyBorder="1" applyAlignment="1">
      <alignment horizontal="right" vertical="center"/>
    </xf>
    <xf numFmtId="164" fontId="36" fillId="0" borderId="52" xfId="0" applyNumberFormat="1" applyFont="1" applyFill="1" applyBorder="1" applyAlignment="1">
      <alignment horizontal="center"/>
    </xf>
    <xf numFmtId="164" fontId="41" fillId="0" borderId="52" xfId="0" applyNumberFormat="1" applyFont="1" applyFill="1" applyBorder="1" applyAlignment="1">
      <alignment horizontal="left"/>
    </xf>
    <xf numFmtId="0" fontId="23" fillId="0" borderId="52" xfId="0" applyFont="1" applyBorder="1"/>
    <xf numFmtId="0" fontId="29" fillId="0" borderId="52" xfId="0" applyFont="1" applyBorder="1"/>
    <xf numFmtId="0" fontId="0" fillId="0" borderId="52" xfId="0" applyBorder="1"/>
    <xf numFmtId="0" fontId="36" fillId="0" borderId="52" xfId="0" applyFont="1" applyFill="1" applyBorder="1" applyAlignment="1">
      <alignment horizontal="center"/>
    </xf>
  </cellXfs>
  <cellStyles count="6">
    <cellStyle name="40% - Accent1 2" xfId="3"/>
    <cellStyle name="Accent1 2" xfId="2"/>
    <cellStyle name="Heading 1 2" xfId="4"/>
    <cellStyle name="Moneda" xfId="5" builtinId="4"/>
    <cellStyle name="Normal" xfId="0" builtinId="0" customBuiltin="1"/>
    <cellStyle name="Normal 2" xfId="1"/>
  </cellStyles>
  <dxfs count="67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66"/>
      <tableStyleElement type="headerRow" dxfId="65"/>
      <tableStyleElement type="totalRow" dxfId="64"/>
      <tableStyleElement type="firstColumn" dxfId="63"/>
      <tableStyleElement type="lastColumn" dxfId="62"/>
      <tableStyleElement type="firstRowStripe" dxfId="61"/>
      <tableStyleElement type="firstColumnStripe" dxfId="60"/>
    </tableStyle>
    <tableStyle name="TableStyleLight9 2" pivot="0" count="4">
      <tableStyleElement type="wholeTable" dxfId="59"/>
      <tableStyleElement type="headerRow" dxfId="58"/>
      <tableStyleElement type="totalRow" dxfId="57"/>
      <tableStyleElement type="firstColumn" dxfId="5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8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</xdr:row>
      <xdr:rowOff>28575</xdr:rowOff>
    </xdr:from>
    <xdr:to>
      <xdr:col>18</xdr:col>
      <xdr:colOff>552450</xdr:colOff>
      <xdr:row>2</xdr:row>
      <xdr:rowOff>238124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9639300" y="171450"/>
          <a:ext cx="2286000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 b="1">
              <a:solidFill>
                <a:schemeClr val="accent1"/>
              </a:solidFill>
            </a:rPr>
            <a:t>Haga clic en el control de número para cambiar</a:t>
          </a:r>
          <a:r>
            <a:rPr lang="en-US" sz="1000" b="1" baseline="0">
              <a:solidFill>
                <a:schemeClr val="accent1"/>
              </a:solidFill>
            </a:rPr>
            <a:t> el año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22860</xdr:colOff>
          <xdr:row>1</xdr:row>
          <xdr:rowOff>68580</xdr:rowOff>
        </xdr:from>
        <xdr:to>
          <xdr:col>15</xdr:col>
          <xdr:colOff>0</xdr:colOff>
          <xdr:row>2</xdr:row>
          <xdr:rowOff>129540</xdr:rowOff>
        </xdr:to>
        <xdr:sp macro="" textlink="">
          <xdr:nvSpPr>
            <xdr:cNvPr id="1025" name="Spinner 1" descr="Spinner control. Use spinner to change calendar year or type desired year in cell L2 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xmlns="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K34" sqref="K34:K35"/>
    </sheetView>
  </sheetViews>
  <sheetFormatPr baseColWidth="10" defaultColWidth="8.6640625" defaultRowHeight="16.5" customHeight="1" x14ac:dyDescent="0.25"/>
  <cols>
    <col min="1" max="1" width="2.33203125" style="1" customWidth="1"/>
    <col min="2" max="2" width="12.6640625" style="1" customWidth="1"/>
    <col min="3" max="10" width="6.6640625" style="1" customWidth="1"/>
    <col min="11" max="11" width="7.33203125" style="1" customWidth="1"/>
    <col min="12" max="12" width="3.88671875" customWidth="1"/>
    <col min="13" max="13" width="51.44140625" style="1" customWidth="1"/>
    <col min="14" max="14" width="10.6640625" style="1" customWidth="1"/>
    <col min="15" max="15" width="2.33203125" customWidth="1"/>
    <col min="16" max="22" width="8.88671875" customWidth="1"/>
    <col min="42" max="16384" width="8.6640625" style="1"/>
  </cols>
  <sheetData>
    <row r="1" spans="1:14" ht="11.25" customHeight="1" x14ac:dyDescent="0.25"/>
    <row r="2" spans="1:14" ht="18" customHeight="1" x14ac:dyDescent="0.25">
      <c r="A2" s="4"/>
      <c r="B2" s="42" t="s">
        <v>4</v>
      </c>
      <c r="C2" s="21"/>
      <c r="D2" s="21"/>
      <c r="E2" s="21"/>
      <c r="F2" s="21"/>
      <c r="G2" s="21"/>
      <c r="H2" s="21"/>
      <c r="I2" s="21"/>
      <c r="J2" s="22"/>
      <c r="K2" s="82" t="s">
        <v>3</v>
      </c>
      <c r="L2" s="83">
        <v>2013</v>
      </c>
      <c r="M2" s="83"/>
      <c r="N2" s="89">
        <v>2018</v>
      </c>
    </row>
    <row r="3" spans="1:14" ht="21" customHeight="1" x14ac:dyDescent="0.25">
      <c r="A3" s="4"/>
      <c r="B3" s="4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84"/>
      <c r="L3" s="85"/>
      <c r="M3" s="85"/>
      <c r="N3" s="90"/>
    </row>
    <row r="4" spans="1:14" ht="18" customHeight="1" x14ac:dyDescent="0.25">
      <c r="A4" s="4"/>
      <c r="B4" s="43"/>
      <c r="C4" s="10">
        <f>IF(DAY(JanSun1)=1,JanSun1-6,JanSun1+1)</f>
        <v>43101</v>
      </c>
      <c r="D4" s="10">
        <f>IF(DAY(JanSun1)=1,JanSun1-5,JanSun1+2)</f>
        <v>43102</v>
      </c>
      <c r="E4" s="10">
        <f>IF(DAY(JanSun1)=1,JanSun1-4,JanSun1+3)</f>
        <v>43103</v>
      </c>
      <c r="F4" s="10">
        <f>IF(DAY(JanSun1)=1,JanSun1-3,JanSun1+4)</f>
        <v>43104</v>
      </c>
      <c r="G4" s="10">
        <f>IF(DAY(JanSun1)=1,JanSun1-2,JanSun1+5)</f>
        <v>43105</v>
      </c>
      <c r="H4" s="10">
        <f>IF(DAY(JanSun1)=1,JanSun1-1,JanSun1+6)</f>
        <v>43106</v>
      </c>
      <c r="I4" s="10">
        <f>IF(DAY(JanSun1)=1,JanSun1,JanSun1+7)</f>
        <v>43107</v>
      </c>
      <c r="J4" s="5"/>
      <c r="K4" s="86" t="s">
        <v>11</v>
      </c>
      <c r="L4" s="16">
        <v>3</v>
      </c>
      <c r="M4" s="87"/>
      <c r="N4" s="88"/>
    </row>
    <row r="5" spans="1:14" ht="18" customHeight="1" x14ac:dyDescent="0.25">
      <c r="A5" s="4"/>
      <c r="B5" s="43"/>
      <c r="C5" s="10">
        <f>IF(DAY(JanSun1)=1,JanSun1+1,JanSun1+8)</f>
        <v>43108</v>
      </c>
      <c r="D5" s="10">
        <f>IF(DAY(JanSun1)=1,JanSun1+2,JanSun1+9)</f>
        <v>43109</v>
      </c>
      <c r="E5" s="10">
        <f>IF(DAY(JanSun1)=1,JanSun1+3,JanSun1+10)</f>
        <v>43110</v>
      </c>
      <c r="F5" s="10">
        <f>IF(DAY(JanSun1)=1,JanSun1+4,JanSun1+11)</f>
        <v>43111</v>
      </c>
      <c r="G5" s="10">
        <f>IF(DAY(JanSun1)=1,JanSun1+5,JanSun1+12)</f>
        <v>43112</v>
      </c>
      <c r="H5" s="10">
        <f>IF(DAY(JanSun1)=1,JanSun1+6,JanSun1+13)</f>
        <v>43113</v>
      </c>
      <c r="I5" s="10">
        <f>IF(DAY(JanSun1)=1,JanSun1+7,JanSun1+14)</f>
        <v>43114</v>
      </c>
      <c r="J5" s="5"/>
      <c r="K5" s="78"/>
      <c r="L5" s="17"/>
      <c r="M5" s="48"/>
      <c r="N5" s="49"/>
    </row>
    <row r="6" spans="1:14" ht="18" customHeight="1" x14ac:dyDescent="0.25">
      <c r="A6" s="4"/>
      <c r="B6" s="43"/>
      <c r="C6" s="10">
        <f>IF(DAY(JanSun1)=1,JanSun1+8,JanSun1+15)</f>
        <v>43115</v>
      </c>
      <c r="D6" s="10">
        <f>IF(DAY(JanSun1)=1,JanSun1+9,JanSun1+16)</f>
        <v>43116</v>
      </c>
      <c r="E6" s="10">
        <f>IF(DAY(JanSun1)=1,JanSun1+10,JanSun1+17)</f>
        <v>43117</v>
      </c>
      <c r="F6" s="10">
        <f>IF(DAY(JanSun1)=1,JanSun1+11,JanSun1+18)</f>
        <v>43118</v>
      </c>
      <c r="G6" s="10">
        <f>IF(DAY(JanSun1)=1,JanSun1+12,JanSun1+19)</f>
        <v>43119</v>
      </c>
      <c r="H6" s="10">
        <f>IF(DAY(JanSun1)=1,JanSun1+13,JanSun1+20)</f>
        <v>43120</v>
      </c>
      <c r="I6" s="10">
        <f>IF(DAY(JanSun1)=1,JanSun1+14,JanSun1+21)</f>
        <v>43121</v>
      </c>
      <c r="J6" s="5"/>
      <c r="K6" s="78"/>
      <c r="L6" s="17"/>
      <c r="M6" s="48"/>
      <c r="N6" s="49"/>
    </row>
    <row r="7" spans="1:14" ht="18" customHeight="1" x14ac:dyDescent="0.25">
      <c r="A7" s="4"/>
      <c r="B7" s="43"/>
      <c r="C7" s="10">
        <f>IF(DAY(JanSun1)=1,JanSun1+15,JanSun1+22)</f>
        <v>43122</v>
      </c>
      <c r="D7" s="10">
        <f>IF(DAY(JanSun1)=1,JanSun1+16,JanSun1+23)</f>
        <v>43123</v>
      </c>
      <c r="E7" s="10">
        <f>IF(DAY(JanSun1)=1,JanSun1+17,JanSun1+24)</f>
        <v>43124</v>
      </c>
      <c r="F7" s="10">
        <f>IF(DAY(JanSun1)=1,JanSun1+18,JanSun1+25)</f>
        <v>43125</v>
      </c>
      <c r="G7" s="10">
        <f>IF(DAY(JanSun1)=1,JanSun1+19,JanSun1+26)</f>
        <v>43126</v>
      </c>
      <c r="H7" s="10">
        <f>IF(DAY(JanSun1)=1,JanSun1+20,JanSun1+27)</f>
        <v>43127</v>
      </c>
      <c r="I7" s="10">
        <f>IF(DAY(JanSun1)=1,JanSun1+21,JanSun1+28)</f>
        <v>43128</v>
      </c>
      <c r="J7" s="5"/>
      <c r="K7" s="11"/>
      <c r="L7" s="17"/>
      <c r="M7" s="48"/>
      <c r="N7" s="49"/>
    </row>
    <row r="8" spans="1:14" ht="18.75" customHeight="1" x14ac:dyDescent="0.25">
      <c r="A8" s="4"/>
      <c r="B8" s="43"/>
      <c r="C8" s="10">
        <f>IF(DAY(JanSun1)=1,JanSun1+22,JanSun1+29)</f>
        <v>43129</v>
      </c>
      <c r="D8" s="10">
        <f>IF(DAY(JanSun1)=1,JanSun1+23,JanSun1+30)</f>
        <v>43130</v>
      </c>
      <c r="E8" s="10">
        <f>IF(DAY(JanSun1)=1,JanSun1+24,JanSun1+31)</f>
        <v>43131</v>
      </c>
      <c r="F8" s="10">
        <f>IF(DAY(JanSun1)=1,JanSun1+25,JanSun1+32)</f>
        <v>43132</v>
      </c>
      <c r="G8" s="10">
        <f>IF(DAY(JanSun1)=1,JanSun1+26,JanSun1+33)</f>
        <v>43133</v>
      </c>
      <c r="H8" s="10">
        <f>IF(DAY(JanSun1)=1,JanSun1+27,JanSun1+34)</f>
        <v>43134</v>
      </c>
      <c r="I8" s="10">
        <f>IF(DAY(JanSun1)=1,JanSun1+28,JanSun1+35)</f>
        <v>43135</v>
      </c>
      <c r="J8" s="5"/>
      <c r="K8" s="11"/>
      <c r="L8" s="17"/>
      <c r="M8" s="48"/>
      <c r="N8" s="49"/>
    </row>
    <row r="9" spans="1:14" ht="18" customHeight="1" x14ac:dyDescent="0.25">
      <c r="A9" s="4"/>
      <c r="B9" s="43"/>
      <c r="C9" s="10">
        <f>IF(DAY(JanSun1)=1,JanSun1+29,JanSun1+36)</f>
        <v>43136</v>
      </c>
      <c r="D9" s="10">
        <f>IF(DAY(JanSun1)=1,JanSun1+30,JanSun1+37)</f>
        <v>43137</v>
      </c>
      <c r="E9" s="10">
        <f>IF(DAY(JanSun1)=1,JanSun1+31,JanSun1+38)</f>
        <v>43138</v>
      </c>
      <c r="F9" s="10">
        <f>IF(DAY(JanSun1)=1,JanSun1+32,JanSun1+39)</f>
        <v>43139</v>
      </c>
      <c r="G9" s="10">
        <f>IF(DAY(JanSun1)=1,JanSun1+33,JanSun1+40)</f>
        <v>43140</v>
      </c>
      <c r="H9" s="10">
        <f>IF(DAY(JanSun1)=1,JanSun1+34,JanSun1+41)</f>
        <v>43141</v>
      </c>
      <c r="I9" s="10">
        <f>IF(DAY(JanSun1)=1,JanSun1+35,JanSun1+42)</f>
        <v>43142</v>
      </c>
      <c r="J9" s="5"/>
      <c r="K9" s="12"/>
      <c r="L9" s="18"/>
      <c r="M9" s="52"/>
      <c r="N9" s="53"/>
    </row>
    <row r="10" spans="1:14" ht="18" customHeight="1" x14ac:dyDescent="0.25">
      <c r="A10" s="4"/>
      <c r="B10" s="44"/>
      <c r="C10" s="23"/>
      <c r="D10" s="23"/>
      <c r="E10" s="23"/>
      <c r="F10" s="23"/>
      <c r="G10" s="23"/>
      <c r="H10" s="23"/>
      <c r="I10" s="23"/>
      <c r="J10" s="24"/>
      <c r="K10" s="77" t="s">
        <v>12</v>
      </c>
      <c r="L10" s="16">
        <v>18</v>
      </c>
      <c r="M10" s="54"/>
      <c r="N10" s="55"/>
    </row>
    <row r="11" spans="1:14" ht="18" customHeight="1" x14ac:dyDescent="0.25">
      <c r="A11" s="4"/>
      <c r="B11" s="45" t="s">
        <v>10</v>
      </c>
      <c r="C11" s="46"/>
      <c r="D11" s="46"/>
      <c r="E11" s="46"/>
      <c r="F11" s="46"/>
      <c r="G11" s="46"/>
      <c r="H11" s="46"/>
      <c r="I11" s="46"/>
      <c r="J11" s="47"/>
      <c r="K11" s="78"/>
      <c r="L11" s="17"/>
      <c r="M11" s="48"/>
      <c r="N11" s="49"/>
    </row>
    <row r="12" spans="1:14" ht="18" customHeight="1" x14ac:dyDescent="0.25">
      <c r="A12" s="4"/>
      <c r="B12" s="45"/>
      <c r="C12" s="46"/>
      <c r="D12" s="46"/>
      <c r="E12" s="46"/>
      <c r="F12" s="46"/>
      <c r="G12" s="46"/>
      <c r="H12" s="46"/>
      <c r="I12" s="46"/>
      <c r="J12" s="47"/>
      <c r="K12" s="78"/>
      <c r="L12" s="17"/>
      <c r="M12" s="48"/>
      <c r="N12" s="49"/>
    </row>
    <row r="13" spans="1:14" ht="18" customHeight="1" x14ac:dyDescent="0.25">
      <c r="B13" s="3" t="s">
        <v>11</v>
      </c>
      <c r="C13" s="79" t="s">
        <v>12</v>
      </c>
      <c r="D13" s="81"/>
      <c r="E13" s="79" t="s">
        <v>13</v>
      </c>
      <c r="F13" s="81"/>
      <c r="G13" s="79" t="s">
        <v>14</v>
      </c>
      <c r="H13" s="81"/>
      <c r="I13" s="79" t="s">
        <v>15</v>
      </c>
      <c r="J13" s="80"/>
      <c r="K13" s="11"/>
      <c r="L13" s="17"/>
      <c r="M13" s="48"/>
      <c r="N13" s="49"/>
    </row>
    <row r="14" spans="1:14" ht="18" customHeight="1" x14ac:dyDescent="0.25">
      <c r="B14" s="8"/>
      <c r="C14" s="56"/>
      <c r="D14" s="57"/>
      <c r="E14" s="56"/>
      <c r="F14" s="57"/>
      <c r="G14" s="56"/>
      <c r="H14" s="57"/>
      <c r="I14" s="56"/>
      <c r="J14" s="71"/>
      <c r="K14" s="11"/>
      <c r="L14" s="17"/>
      <c r="M14" s="48"/>
      <c r="N14" s="49"/>
    </row>
    <row r="15" spans="1:14" ht="18" customHeight="1" x14ac:dyDescent="0.25">
      <c r="B15" s="6"/>
      <c r="C15" s="58"/>
      <c r="D15" s="59"/>
      <c r="E15" s="58"/>
      <c r="F15" s="59"/>
      <c r="G15" s="58"/>
      <c r="H15" s="59"/>
      <c r="I15" s="69"/>
      <c r="J15" s="70"/>
      <c r="K15" s="13"/>
      <c r="L15" s="19"/>
      <c r="M15" s="52"/>
      <c r="N15" s="53"/>
    </row>
    <row r="16" spans="1:14" ht="18" customHeight="1" x14ac:dyDescent="0.25">
      <c r="B16" s="8"/>
      <c r="C16" s="56"/>
      <c r="D16" s="57"/>
      <c r="E16" s="56"/>
      <c r="F16" s="57"/>
      <c r="G16" s="56"/>
      <c r="H16" s="57"/>
      <c r="I16" s="65"/>
      <c r="J16" s="66"/>
      <c r="K16" s="91" t="s">
        <v>13</v>
      </c>
      <c r="L16" s="16"/>
      <c r="M16" s="54"/>
      <c r="N16" s="55"/>
    </row>
    <row r="17" spans="2:14" ht="18" customHeight="1" x14ac:dyDescent="0.25">
      <c r="B17" s="6"/>
      <c r="C17" s="58"/>
      <c r="D17" s="59"/>
      <c r="E17" s="58"/>
      <c r="F17" s="59"/>
      <c r="G17" s="58"/>
      <c r="H17" s="59"/>
      <c r="I17" s="69"/>
      <c r="J17" s="70"/>
      <c r="K17" s="92"/>
      <c r="L17" s="17"/>
      <c r="M17" s="48"/>
      <c r="N17" s="49"/>
    </row>
    <row r="18" spans="2:14" ht="18" customHeight="1" x14ac:dyDescent="0.25">
      <c r="B18" s="9"/>
      <c r="C18" s="74"/>
      <c r="D18" s="75"/>
      <c r="E18" s="74"/>
      <c r="F18" s="75"/>
      <c r="G18" s="74"/>
      <c r="H18" s="75"/>
      <c r="I18" s="74"/>
      <c r="J18" s="76"/>
      <c r="K18" s="92"/>
      <c r="L18" s="17"/>
      <c r="M18" s="48"/>
      <c r="N18" s="49"/>
    </row>
    <row r="19" spans="2:14" ht="18" customHeight="1" x14ac:dyDescent="0.25">
      <c r="B19" s="6"/>
      <c r="C19" s="58"/>
      <c r="D19" s="59"/>
      <c r="E19" s="58"/>
      <c r="F19" s="59"/>
      <c r="G19" s="58"/>
      <c r="H19" s="59"/>
      <c r="I19" s="69"/>
      <c r="J19" s="70"/>
      <c r="K19" s="11"/>
      <c r="L19" s="17"/>
      <c r="M19" s="48"/>
      <c r="N19" s="49"/>
    </row>
    <row r="20" spans="2:14" ht="18" customHeight="1" x14ac:dyDescent="0.25">
      <c r="B20" s="8"/>
      <c r="C20" s="56"/>
      <c r="D20" s="57"/>
      <c r="E20" s="56"/>
      <c r="F20" s="57"/>
      <c r="G20" s="56"/>
      <c r="H20" s="57"/>
      <c r="I20" s="56"/>
      <c r="J20" s="71"/>
      <c r="K20" s="11"/>
      <c r="L20" s="17"/>
      <c r="M20" s="48"/>
      <c r="N20" s="49"/>
    </row>
    <row r="21" spans="2:14" ht="18" customHeight="1" x14ac:dyDescent="0.25">
      <c r="B21" s="6"/>
      <c r="C21" s="58"/>
      <c r="D21" s="59"/>
      <c r="E21" s="58"/>
      <c r="F21" s="59"/>
      <c r="G21" s="58"/>
      <c r="H21" s="59"/>
      <c r="I21" s="72"/>
      <c r="J21" s="73"/>
      <c r="K21" s="13"/>
      <c r="L21" s="19"/>
      <c r="M21" s="52"/>
      <c r="N21" s="53"/>
    </row>
    <row r="22" spans="2:14" ht="18" customHeight="1" x14ac:dyDescent="0.25">
      <c r="B22" s="8"/>
      <c r="C22" s="56"/>
      <c r="D22" s="57"/>
      <c r="E22" s="56"/>
      <c r="F22" s="57"/>
      <c r="G22" s="56"/>
      <c r="H22" s="57"/>
      <c r="I22" s="56"/>
      <c r="J22" s="71"/>
      <c r="K22" s="91" t="s">
        <v>14</v>
      </c>
      <c r="L22" s="16"/>
      <c r="M22" s="54"/>
      <c r="N22" s="55"/>
    </row>
    <row r="23" spans="2:14" ht="18" customHeight="1" x14ac:dyDescent="0.25">
      <c r="B23" s="6"/>
      <c r="C23" s="58"/>
      <c r="D23" s="59"/>
      <c r="E23" s="58"/>
      <c r="F23" s="59"/>
      <c r="G23" s="58"/>
      <c r="H23" s="59"/>
      <c r="I23" s="69"/>
      <c r="J23" s="70"/>
      <c r="K23" s="92"/>
      <c r="L23" s="17"/>
      <c r="M23" s="48"/>
      <c r="N23" s="49"/>
    </row>
    <row r="24" spans="2:14" ht="18" customHeight="1" x14ac:dyDescent="0.25">
      <c r="B24" s="8"/>
      <c r="C24" s="56"/>
      <c r="D24" s="57"/>
      <c r="E24" s="56"/>
      <c r="F24" s="57"/>
      <c r="G24" s="56"/>
      <c r="H24" s="57"/>
      <c r="I24" s="56"/>
      <c r="J24" s="71"/>
      <c r="K24" s="92"/>
      <c r="L24" s="17"/>
      <c r="M24" s="48"/>
      <c r="N24" s="49"/>
    </row>
    <row r="25" spans="2:14" ht="18" customHeight="1" x14ac:dyDescent="0.25">
      <c r="B25" s="6"/>
      <c r="C25" s="58"/>
      <c r="D25" s="59"/>
      <c r="E25" s="58"/>
      <c r="F25" s="59"/>
      <c r="G25" s="58"/>
      <c r="H25" s="59"/>
      <c r="I25" s="69"/>
      <c r="J25" s="70"/>
      <c r="K25" s="92"/>
      <c r="L25" s="17"/>
      <c r="M25" s="48"/>
      <c r="N25" s="49"/>
    </row>
    <row r="26" spans="2:14" ht="18" customHeight="1" x14ac:dyDescent="0.25">
      <c r="B26" s="8"/>
      <c r="C26" s="56"/>
      <c r="D26" s="57"/>
      <c r="E26" s="56"/>
      <c r="F26" s="57"/>
      <c r="G26" s="56"/>
      <c r="H26" s="57"/>
      <c r="I26" s="56"/>
      <c r="J26" s="71"/>
      <c r="K26" s="11"/>
      <c r="L26" s="17"/>
      <c r="M26" s="48"/>
      <c r="N26" s="49"/>
    </row>
    <row r="27" spans="2:14" ht="18" customHeight="1" x14ac:dyDescent="0.25">
      <c r="B27" s="6"/>
      <c r="C27" s="58"/>
      <c r="D27" s="59"/>
      <c r="E27" s="58"/>
      <c r="F27" s="59"/>
      <c r="G27" s="58"/>
      <c r="H27" s="59"/>
      <c r="I27" s="69"/>
      <c r="J27" s="70"/>
      <c r="K27" s="13"/>
      <c r="L27" s="19"/>
      <c r="M27" s="52"/>
      <c r="N27" s="53"/>
    </row>
    <row r="28" spans="2:14" ht="18" customHeight="1" x14ac:dyDescent="0.25">
      <c r="B28" s="8"/>
      <c r="C28" s="56"/>
      <c r="D28" s="57"/>
      <c r="E28" s="56"/>
      <c r="F28" s="57"/>
      <c r="G28" s="56"/>
      <c r="H28" s="57"/>
      <c r="I28" s="56"/>
      <c r="J28" s="71"/>
      <c r="K28" s="77" t="s">
        <v>15</v>
      </c>
      <c r="L28" s="16"/>
      <c r="M28" s="54"/>
      <c r="N28" s="55"/>
    </row>
    <row r="29" spans="2:14" ht="18" customHeight="1" x14ac:dyDescent="0.25">
      <c r="B29" s="6"/>
      <c r="C29" s="58"/>
      <c r="D29" s="59"/>
      <c r="E29" s="58"/>
      <c r="F29" s="59"/>
      <c r="G29" s="58"/>
      <c r="H29" s="59"/>
      <c r="I29" s="58"/>
      <c r="J29" s="64"/>
      <c r="K29" s="78"/>
      <c r="L29" s="17"/>
      <c r="M29" s="48"/>
      <c r="N29" s="49"/>
    </row>
    <row r="30" spans="2:14" ht="18" customHeight="1" x14ac:dyDescent="0.25">
      <c r="B30" s="8"/>
      <c r="C30" s="56"/>
      <c r="D30" s="57"/>
      <c r="E30" s="56"/>
      <c r="F30" s="57"/>
      <c r="G30" s="56"/>
      <c r="H30" s="57"/>
      <c r="I30" s="62"/>
      <c r="J30" s="63"/>
      <c r="K30" s="78"/>
      <c r="L30" s="17"/>
      <c r="M30" s="48"/>
      <c r="N30" s="49"/>
    </row>
    <row r="31" spans="2:14" ht="18" customHeight="1" x14ac:dyDescent="0.25">
      <c r="B31" s="6"/>
      <c r="C31" s="58"/>
      <c r="D31" s="59"/>
      <c r="E31" s="58"/>
      <c r="F31" s="59"/>
      <c r="G31" s="58"/>
      <c r="H31" s="59"/>
      <c r="I31" s="58"/>
      <c r="J31" s="64"/>
      <c r="K31" s="14"/>
      <c r="L31" s="17"/>
      <c r="M31" s="48"/>
      <c r="N31" s="49"/>
    </row>
    <row r="32" spans="2:14" ht="18" customHeight="1" x14ac:dyDescent="0.25">
      <c r="B32" s="8"/>
      <c r="C32" s="56"/>
      <c r="D32" s="57"/>
      <c r="E32" s="56"/>
      <c r="F32" s="57"/>
      <c r="G32" s="56"/>
      <c r="H32" s="57"/>
      <c r="I32" s="65"/>
      <c r="J32" s="66"/>
      <c r="K32" s="14"/>
      <c r="L32" s="17"/>
      <c r="M32" s="48"/>
      <c r="N32" s="49"/>
    </row>
    <row r="33" spans="2:14" ht="18" customHeight="1" x14ac:dyDescent="0.25">
      <c r="B33" s="7"/>
      <c r="C33" s="60"/>
      <c r="D33" s="61"/>
      <c r="E33" s="60"/>
      <c r="F33" s="61"/>
      <c r="G33" s="60"/>
      <c r="H33" s="61"/>
      <c r="I33" s="67"/>
      <c r="J33" s="68"/>
      <c r="K33" s="15"/>
      <c r="L33" s="20"/>
      <c r="M33" s="50"/>
      <c r="N33" s="51"/>
    </row>
  </sheetData>
  <mergeCells count="123"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</mergeCells>
  <phoneticPr fontId="2" type="noConversion"/>
  <conditionalFormatting sqref="C4:H4">
    <cfRule type="expression" dxfId="55" priority="4" stopIfTrue="1">
      <formula>DAY(C4)&gt;8</formula>
    </cfRule>
  </conditionalFormatting>
  <conditionalFormatting sqref="C8:I10">
    <cfRule type="expression" dxfId="54" priority="3" stopIfTrue="1">
      <formula>AND(DAY(C8)&gt;=1,DAY(C8)&lt;=15)</formula>
    </cfRule>
  </conditionalFormatting>
  <conditionalFormatting sqref="C4:I9">
    <cfRule type="expression" dxfId="53" priority="15">
      <formula>VLOOKUP(DAY(C4),DíasDeTareas,1,FALSE)=DAY(C4)</formula>
    </cfRule>
  </conditionalFormatting>
  <conditionalFormatting sqref="B14:J33">
    <cfRule type="expression" dxfId="52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22860</xdr:colOff>
                    <xdr:row>1</xdr:row>
                    <xdr:rowOff>68580</xdr:rowOff>
                  </from>
                  <to>
                    <xdr:col>15</xdr:col>
                    <xdr:colOff>0</xdr:colOff>
                    <xdr:row>2</xdr:row>
                    <xdr:rowOff>129540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view="pageLayout" topLeftCell="B1" zoomScale="140" zoomScaleNormal="100" zoomScalePageLayoutView="140" workbookViewId="0">
      <selection activeCell="N1" sqref="N1"/>
    </sheetView>
  </sheetViews>
  <sheetFormatPr baseColWidth="10" defaultColWidth="8.6640625" defaultRowHeight="13.2" x14ac:dyDescent="0.25"/>
  <cols>
    <col min="1" max="1" width="2.33203125" style="27" customWidth="1"/>
    <col min="2" max="2" width="2.33203125" style="27" bestFit="1" customWidth="1"/>
    <col min="3" max="6" width="1.88671875" style="27" bestFit="1" customWidth="1"/>
    <col min="7" max="7" width="2.109375" style="27" bestFit="1" customWidth="1"/>
    <col min="8" max="9" width="1.88671875" style="27" bestFit="1" customWidth="1"/>
    <col min="10" max="11" width="6.6640625" style="27" hidden="1" customWidth="1"/>
    <col min="12" max="12" width="3.77734375" style="27" bestFit="1" customWidth="1"/>
    <col min="13" max="13" width="3.88671875" style="27" customWidth="1"/>
    <col min="14" max="14" width="79.77734375" style="27" customWidth="1"/>
    <col min="15" max="15" width="72.88671875" style="27" customWidth="1"/>
    <col min="16" max="16" width="2.33203125" style="27" customWidth="1"/>
    <col min="17" max="23" width="8.88671875" style="27" customWidth="1"/>
    <col min="24" max="16384" width="8.6640625" style="27"/>
  </cols>
  <sheetData>
    <row r="1" spans="1:15" x14ac:dyDescent="0.25">
      <c r="L1" s="41"/>
      <c r="M1" s="41"/>
      <c r="N1" s="41"/>
      <c r="O1" s="41"/>
    </row>
    <row r="2" spans="1:15" ht="12.75" customHeight="1" x14ac:dyDescent="0.25">
      <c r="A2" s="28"/>
      <c r="B2" s="210" t="s">
        <v>4</v>
      </c>
      <c r="C2" s="211"/>
      <c r="D2" s="211"/>
      <c r="E2" s="211"/>
      <c r="F2" s="211"/>
      <c r="G2" s="211"/>
      <c r="H2" s="211"/>
      <c r="I2" s="211"/>
      <c r="J2" s="211"/>
      <c r="K2" s="212"/>
      <c r="L2" s="213" t="s">
        <v>3</v>
      </c>
      <c r="M2" s="214">
        <v>2013</v>
      </c>
      <c r="N2" s="214"/>
      <c r="O2" s="215"/>
    </row>
    <row r="3" spans="1:15" x14ac:dyDescent="0.25">
      <c r="A3" s="28"/>
      <c r="B3" s="216"/>
      <c r="C3" s="261" t="s">
        <v>5</v>
      </c>
      <c r="D3" s="261" t="s">
        <v>1</v>
      </c>
      <c r="E3" s="261" t="s">
        <v>6</v>
      </c>
      <c r="F3" s="261" t="s">
        <v>7</v>
      </c>
      <c r="G3" s="261" t="s">
        <v>8</v>
      </c>
      <c r="H3" s="261" t="s">
        <v>0</v>
      </c>
      <c r="I3" s="261" t="s">
        <v>9</v>
      </c>
      <c r="J3" s="217"/>
      <c r="K3" s="218"/>
      <c r="L3" s="219"/>
      <c r="M3" s="220"/>
      <c r="N3" s="220"/>
      <c r="O3" s="221"/>
    </row>
    <row r="4" spans="1:15" x14ac:dyDescent="0.25">
      <c r="A4" s="28"/>
      <c r="B4" s="216"/>
      <c r="C4" s="260">
        <f>IF(DAY(DicDom1)=1,DicDom1-6,DicDom1+1)</f>
        <v>43430</v>
      </c>
      <c r="D4" s="260">
        <v>1</v>
      </c>
      <c r="E4" s="260">
        <v>2</v>
      </c>
      <c r="F4" s="260">
        <v>3</v>
      </c>
      <c r="G4" s="260">
        <v>4</v>
      </c>
      <c r="H4" s="260">
        <v>5</v>
      </c>
      <c r="I4" s="260">
        <v>6</v>
      </c>
      <c r="J4" s="222"/>
      <c r="K4" s="218"/>
      <c r="L4" s="223" t="s">
        <v>11</v>
      </c>
      <c r="M4" s="250"/>
      <c r="N4" s="251"/>
      <c r="O4" s="252"/>
    </row>
    <row r="5" spans="1:15" x14ac:dyDescent="0.25">
      <c r="A5" s="28"/>
      <c r="B5" s="216"/>
      <c r="C5" s="260">
        <v>7</v>
      </c>
      <c r="D5" s="260">
        <v>8</v>
      </c>
      <c r="E5" s="260">
        <v>9</v>
      </c>
      <c r="F5" s="260">
        <v>10</v>
      </c>
      <c r="G5" s="260">
        <v>11</v>
      </c>
      <c r="H5" s="260">
        <v>12</v>
      </c>
      <c r="I5" s="260">
        <v>13</v>
      </c>
      <c r="J5" s="222"/>
      <c r="K5" s="218"/>
      <c r="L5" s="224"/>
      <c r="M5" s="253">
        <v>7</v>
      </c>
      <c r="N5" s="258" t="s">
        <v>69</v>
      </c>
      <c r="O5" s="254"/>
    </row>
    <row r="6" spans="1:15" x14ac:dyDescent="0.25">
      <c r="A6" s="28"/>
      <c r="B6" s="216"/>
      <c r="C6" s="260">
        <v>14</v>
      </c>
      <c r="D6" s="260">
        <v>15</v>
      </c>
      <c r="E6" s="260">
        <v>16</v>
      </c>
      <c r="F6" s="260">
        <v>17</v>
      </c>
      <c r="G6" s="260">
        <v>18</v>
      </c>
      <c r="H6" s="260">
        <v>19</v>
      </c>
      <c r="I6" s="260">
        <v>20</v>
      </c>
      <c r="J6" s="222"/>
      <c r="K6" s="218"/>
      <c r="L6" s="224"/>
      <c r="M6" s="253">
        <v>14</v>
      </c>
      <c r="N6" s="258" t="s">
        <v>70</v>
      </c>
      <c r="O6" s="254"/>
    </row>
    <row r="7" spans="1:15" x14ac:dyDescent="0.25">
      <c r="A7" s="28"/>
      <c r="B7" s="216"/>
      <c r="C7" s="260">
        <v>21</v>
      </c>
      <c r="D7" s="260">
        <v>22</v>
      </c>
      <c r="E7" s="260">
        <v>23</v>
      </c>
      <c r="F7" s="260">
        <v>24</v>
      </c>
      <c r="G7" s="260">
        <v>25</v>
      </c>
      <c r="H7" s="260">
        <v>26</v>
      </c>
      <c r="I7" s="260">
        <v>27</v>
      </c>
      <c r="J7" s="222"/>
      <c r="K7" s="218"/>
      <c r="L7" s="225"/>
      <c r="M7" s="253">
        <v>21</v>
      </c>
      <c r="N7" s="258" t="s">
        <v>71</v>
      </c>
      <c r="O7" s="254"/>
    </row>
    <row r="8" spans="1:15" x14ac:dyDescent="0.25">
      <c r="A8" s="28"/>
      <c r="B8" s="216"/>
      <c r="C8" s="260">
        <v>28</v>
      </c>
      <c r="D8" s="260">
        <v>29</v>
      </c>
      <c r="E8" s="260">
        <v>30</v>
      </c>
      <c r="F8" s="260">
        <v>31</v>
      </c>
      <c r="G8" s="260"/>
      <c r="H8" s="260"/>
      <c r="I8" s="260"/>
      <c r="J8" s="222"/>
      <c r="K8" s="218"/>
      <c r="L8" s="225"/>
      <c r="M8" s="253">
        <v>28</v>
      </c>
      <c r="N8" s="258" t="s">
        <v>72</v>
      </c>
      <c r="O8" s="254"/>
    </row>
    <row r="9" spans="1:15" x14ac:dyDescent="0.25">
      <c r="A9" s="28"/>
      <c r="B9" s="216"/>
      <c r="C9" s="222"/>
      <c r="D9" s="222"/>
      <c r="E9" s="222"/>
      <c r="F9" s="222"/>
      <c r="G9" s="222"/>
      <c r="H9" s="222"/>
      <c r="I9" s="222"/>
      <c r="J9" s="222"/>
      <c r="K9" s="226"/>
      <c r="L9" s="227"/>
      <c r="M9" s="253"/>
      <c r="N9" s="255"/>
      <c r="O9" s="255"/>
    </row>
    <row r="10" spans="1:15" x14ac:dyDescent="0.25">
      <c r="A10" s="28"/>
      <c r="B10" s="228"/>
      <c r="C10" s="229"/>
      <c r="D10" s="229"/>
      <c r="E10" s="229"/>
      <c r="F10" s="229"/>
      <c r="G10" s="229"/>
      <c r="H10" s="229"/>
      <c r="I10" s="229"/>
      <c r="J10" s="229"/>
      <c r="K10" s="230"/>
      <c r="L10" s="231" t="s">
        <v>12</v>
      </c>
      <c r="M10" s="253">
        <v>1</v>
      </c>
      <c r="N10" s="255" t="s">
        <v>27</v>
      </c>
      <c r="O10" s="255"/>
    </row>
    <row r="11" spans="1:15" ht="12.75" customHeight="1" x14ac:dyDescent="0.25">
      <c r="A11" s="28"/>
      <c r="B11" s="183" t="s">
        <v>10</v>
      </c>
      <c r="C11" s="184"/>
      <c r="D11" s="184"/>
      <c r="E11" s="184"/>
      <c r="F11" s="184"/>
      <c r="G11" s="184"/>
      <c r="H11" s="184"/>
      <c r="I11" s="184"/>
      <c r="J11" s="184"/>
      <c r="K11" s="185"/>
      <c r="L11" s="224"/>
      <c r="M11" s="253">
        <v>8</v>
      </c>
      <c r="N11" s="255" t="s">
        <v>29</v>
      </c>
      <c r="O11" s="255"/>
    </row>
    <row r="12" spans="1:15" ht="12.75" customHeight="1" x14ac:dyDescent="0.25">
      <c r="A12" s="28"/>
      <c r="B12" s="186"/>
      <c r="C12" s="187"/>
      <c r="D12" s="187"/>
      <c r="E12" s="187"/>
      <c r="F12" s="187"/>
      <c r="G12" s="187"/>
      <c r="H12" s="187"/>
      <c r="I12" s="187"/>
      <c r="J12" s="187"/>
      <c r="K12" s="188"/>
      <c r="L12" s="224"/>
      <c r="M12" s="253">
        <v>15</v>
      </c>
      <c r="N12" s="255" t="s">
        <v>32</v>
      </c>
      <c r="O12" s="255"/>
    </row>
    <row r="13" spans="1:15" x14ac:dyDescent="0.25">
      <c r="B13" s="232" t="s">
        <v>11</v>
      </c>
      <c r="C13" s="233" t="s">
        <v>12</v>
      </c>
      <c r="D13" s="234"/>
      <c r="E13" s="233" t="s">
        <v>14</v>
      </c>
      <c r="F13" s="234"/>
      <c r="G13" s="233" t="s">
        <v>14</v>
      </c>
      <c r="H13" s="234"/>
      <c r="I13" s="233" t="s">
        <v>26</v>
      </c>
      <c r="J13" s="235"/>
      <c r="K13" s="234"/>
      <c r="L13" s="182"/>
      <c r="M13" s="253">
        <v>22</v>
      </c>
      <c r="N13" s="255" t="s">
        <v>39</v>
      </c>
      <c r="O13" s="255"/>
    </row>
    <row r="14" spans="1:15" x14ac:dyDescent="0.25">
      <c r="B14" s="189"/>
      <c r="C14" s="194"/>
      <c r="D14" s="195"/>
      <c r="E14" s="194"/>
      <c r="F14" s="195"/>
      <c r="G14" s="194"/>
      <c r="H14" s="195"/>
      <c r="I14" s="194"/>
      <c r="J14" s="196"/>
      <c r="K14" s="195"/>
      <c r="L14" s="225"/>
      <c r="M14" s="253">
        <v>29</v>
      </c>
      <c r="N14" s="255" t="s">
        <v>44</v>
      </c>
      <c r="O14" s="255"/>
    </row>
    <row r="15" spans="1:15" x14ac:dyDescent="0.25">
      <c r="B15" s="190"/>
      <c r="C15" s="191"/>
      <c r="D15" s="192"/>
      <c r="E15" s="191"/>
      <c r="F15" s="192"/>
      <c r="G15" s="191"/>
      <c r="H15" s="192"/>
      <c r="I15" s="191"/>
      <c r="J15" s="193"/>
      <c r="K15" s="192"/>
      <c r="L15" s="236"/>
      <c r="M15" s="253"/>
      <c r="N15" s="255"/>
      <c r="O15" s="255"/>
    </row>
    <row r="16" spans="1:15" ht="12.75" customHeight="1" x14ac:dyDescent="0.25">
      <c r="B16" s="197"/>
      <c r="C16" s="194"/>
      <c r="D16" s="195"/>
      <c r="E16" s="194"/>
      <c r="F16" s="195"/>
      <c r="G16" s="194"/>
      <c r="H16" s="195"/>
      <c r="I16" s="194"/>
      <c r="J16" s="196"/>
      <c r="K16" s="195"/>
      <c r="L16" s="237" t="s">
        <v>13</v>
      </c>
      <c r="M16" s="253">
        <v>2</v>
      </c>
      <c r="N16" s="255" t="s">
        <v>27</v>
      </c>
      <c r="O16" s="255"/>
    </row>
    <row r="17" spans="2:15" x14ac:dyDescent="0.25">
      <c r="B17" s="190"/>
      <c r="C17" s="191"/>
      <c r="D17" s="192"/>
      <c r="E17" s="191"/>
      <c r="F17" s="192"/>
      <c r="G17" s="191"/>
      <c r="H17" s="192"/>
      <c r="I17" s="191"/>
      <c r="J17" s="193"/>
      <c r="K17" s="192"/>
      <c r="L17" s="238"/>
      <c r="M17" s="253">
        <v>9</v>
      </c>
      <c r="N17" s="255" t="s">
        <v>30</v>
      </c>
      <c r="O17" s="255"/>
    </row>
    <row r="18" spans="2:15" x14ac:dyDescent="0.25">
      <c r="B18" s="189"/>
      <c r="C18" s="194"/>
      <c r="D18" s="195"/>
      <c r="E18" s="194"/>
      <c r="F18" s="195"/>
      <c r="G18" s="194"/>
      <c r="H18" s="195"/>
      <c r="I18" s="194"/>
      <c r="J18" s="196"/>
      <c r="K18" s="195"/>
      <c r="L18" s="238"/>
      <c r="M18" s="253">
        <v>16</v>
      </c>
      <c r="N18" s="255" t="s">
        <v>36</v>
      </c>
      <c r="O18" s="255"/>
    </row>
    <row r="19" spans="2:15" x14ac:dyDescent="0.25">
      <c r="B19" s="190"/>
      <c r="C19" s="191"/>
      <c r="D19" s="192"/>
      <c r="E19" s="191"/>
      <c r="F19" s="192"/>
      <c r="G19" s="191"/>
      <c r="H19" s="192"/>
      <c r="I19" s="191"/>
      <c r="J19" s="193"/>
      <c r="K19" s="192"/>
      <c r="L19" s="225"/>
      <c r="M19" s="253">
        <v>23</v>
      </c>
      <c r="N19" s="255" t="s">
        <v>40</v>
      </c>
      <c r="O19" s="255"/>
    </row>
    <row r="20" spans="2:15" x14ac:dyDescent="0.25">
      <c r="B20" s="189"/>
      <c r="C20" s="194"/>
      <c r="D20" s="195"/>
      <c r="E20" s="194"/>
      <c r="F20" s="195"/>
      <c r="G20" s="194"/>
      <c r="H20" s="195"/>
      <c r="I20" s="194"/>
      <c r="J20" s="196"/>
      <c r="K20" s="195"/>
      <c r="L20" s="225"/>
      <c r="M20" s="253">
        <v>30</v>
      </c>
      <c r="N20" s="255" t="s">
        <v>45</v>
      </c>
      <c r="O20" s="255"/>
    </row>
    <row r="21" spans="2:15" x14ac:dyDescent="0.25">
      <c r="B21" s="190"/>
      <c r="C21" s="191"/>
      <c r="D21" s="192"/>
      <c r="E21" s="191"/>
      <c r="F21" s="192"/>
      <c r="G21" s="191"/>
      <c r="H21" s="192"/>
      <c r="I21" s="191"/>
      <c r="J21" s="193"/>
      <c r="K21" s="192"/>
      <c r="L21" s="236"/>
      <c r="M21" s="253"/>
      <c r="N21" s="255"/>
      <c r="O21" s="255"/>
    </row>
    <row r="22" spans="2:15" ht="12.75" customHeight="1" x14ac:dyDescent="0.25">
      <c r="B22" s="189"/>
      <c r="C22" s="194"/>
      <c r="D22" s="195"/>
      <c r="E22" s="194"/>
      <c r="F22" s="195"/>
      <c r="G22" s="194"/>
      <c r="H22" s="195"/>
      <c r="I22" s="194"/>
      <c r="J22" s="196"/>
      <c r="K22" s="195"/>
      <c r="L22" s="237" t="s">
        <v>14</v>
      </c>
      <c r="M22" s="253">
        <v>3</v>
      </c>
      <c r="N22" s="256" t="s">
        <v>34</v>
      </c>
      <c r="O22" s="256"/>
    </row>
    <row r="23" spans="2:15" x14ac:dyDescent="0.25">
      <c r="B23" s="190"/>
      <c r="C23" s="191"/>
      <c r="D23" s="192"/>
      <c r="E23" s="191"/>
      <c r="F23" s="192"/>
      <c r="G23" s="191"/>
      <c r="H23" s="192"/>
      <c r="I23" s="191"/>
      <c r="J23" s="193"/>
      <c r="K23" s="192"/>
      <c r="L23" s="238"/>
      <c r="M23" s="253">
        <v>10</v>
      </c>
      <c r="N23" s="255" t="s">
        <v>33</v>
      </c>
      <c r="O23" s="255"/>
    </row>
    <row r="24" spans="2:15" x14ac:dyDescent="0.25">
      <c r="B24" s="189"/>
      <c r="C24" s="194"/>
      <c r="D24" s="195"/>
      <c r="E24" s="194"/>
      <c r="F24" s="195"/>
      <c r="G24" s="194"/>
      <c r="H24" s="195"/>
      <c r="I24" s="194"/>
      <c r="J24" s="196"/>
      <c r="K24" s="195"/>
      <c r="L24" s="238"/>
      <c r="M24" s="253">
        <v>17</v>
      </c>
      <c r="N24" s="255" t="s">
        <v>37</v>
      </c>
      <c r="O24" s="255"/>
    </row>
    <row r="25" spans="2:15" x14ac:dyDescent="0.25">
      <c r="B25" s="190"/>
      <c r="C25" s="191"/>
      <c r="D25" s="192"/>
      <c r="E25" s="191"/>
      <c r="F25" s="192"/>
      <c r="G25" s="191"/>
      <c r="H25" s="192"/>
      <c r="I25" s="191"/>
      <c r="J25" s="193"/>
      <c r="K25" s="192"/>
      <c r="L25" s="238"/>
      <c r="M25" s="253">
        <v>24</v>
      </c>
      <c r="N25" s="255" t="s">
        <v>41</v>
      </c>
      <c r="O25" s="255"/>
    </row>
    <row r="26" spans="2:15" x14ac:dyDescent="0.25">
      <c r="B26" s="189"/>
      <c r="C26" s="194"/>
      <c r="D26" s="195"/>
      <c r="E26" s="194"/>
      <c r="F26" s="195"/>
      <c r="G26" s="194"/>
      <c r="H26" s="195"/>
      <c r="I26" s="194"/>
      <c r="J26" s="196"/>
      <c r="K26" s="195"/>
      <c r="L26" s="225"/>
      <c r="M26" s="253">
        <v>31</v>
      </c>
      <c r="N26" s="255" t="s">
        <v>46</v>
      </c>
      <c r="O26" s="255"/>
    </row>
    <row r="27" spans="2:15" x14ac:dyDescent="0.25">
      <c r="B27" s="190"/>
      <c r="C27" s="191"/>
      <c r="D27" s="192"/>
      <c r="E27" s="191"/>
      <c r="F27" s="192"/>
      <c r="G27" s="191"/>
      <c r="H27" s="192"/>
      <c r="I27" s="191"/>
      <c r="J27" s="193"/>
      <c r="K27" s="192"/>
      <c r="L27" s="236"/>
      <c r="M27" s="253"/>
      <c r="N27" s="255"/>
      <c r="O27" s="255"/>
    </row>
    <row r="28" spans="2:15" x14ac:dyDescent="0.25">
      <c r="B28" s="189"/>
      <c r="C28" s="198"/>
      <c r="D28" s="199"/>
      <c r="E28" s="198"/>
      <c r="F28" s="199"/>
      <c r="G28" s="198"/>
      <c r="H28" s="199"/>
      <c r="I28" s="198"/>
      <c r="J28" s="200"/>
      <c r="K28" s="199"/>
      <c r="L28" s="224"/>
      <c r="M28" s="253">
        <v>4</v>
      </c>
      <c r="N28" s="255" t="s">
        <v>67</v>
      </c>
      <c r="O28" s="255"/>
    </row>
    <row r="29" spans="2:15" x14ac:dyDescent="0.25">
      <c r="B29" s="201"/>
      <c r="C29" s="202"/>
      <c r="D29" s="202"/>
      <c r="E29" s="202"/>
      <c r="F29" s="202"/>
      <c r="G29" s="202"/>
      <c r="H29" s="202"/>
      <c r="I29" s="202"/>
      <c r="J29" s="202"/>
      <c r="K29" s="203"/>
      <c r="L29" s="224"/>
      <c r="M29" s="253">
        <v>11</v>
      </c>
      <c r="N29" s="256" t="s">
        <v>35</v>
      </c>
      <c r="O29" s="255"/>
    </row>
    <row r="30" spans="2:15" x14ac:dyDescent="0.25">
      <c r="B30" s="204"/>
      <c r="C30" s="205"/>
      <c r="D30" s="205"/>
      <c r="E30" s="205"/>
      <c r="F30" s="205"/>
      <c r="G30" s="205"/>
      <c r="H30" s="205"/>
      <c r="I30" s="205"/>
      <c r="J30" s="205"/>
      <c r="K30" s="206"/>
      <c r="L30" s="239"/>
      <c r="M30" s="253">
        <v>18</v>
      </c>
      <c r="N30" s="255" t="s">
        <v>38</v>
      </c>
      <c r="O30" s="255"/>
    </row>
    <row r="31" spans="2:15" x14ac:dyDescent="0.25">
      <c r="B31" s="207"/>
      <c r="C31" s="208"/>
      <c r="D31" s="208"/>
      <c r="E31" s="208"/>
      <c r="F31" s="208"/>
      <c r="G31" s="208"/>
      <c r="H31" s="208"/>
      <c r="I31" s="208"/>
      <c r="J31" s="208"/>
      <c r="K31" s="209"/>
      <c r="L31" s="239"/>
      <c r="M31" s="253">
        <v>25</v>
      </c>
      <c r="N31" s="255" t="s">
        <v>42</v>
      </c>
      <c r="O31" s="255"/>
    </row>
    <row r="32" spans="2:15" x14ac:dyDescent="0.25">
      <c r="L32" s="259"/>
      <c r="M32" s="254"/>
      <c r="N32" s="254"/>
      <c r="O32" s="254"/>
    </row>
    <row r="33" spans="12:15" x14ac:dyDescent="0.25">
      <c r="L33" s="231" t="s">
        <v>25</v>
      </c>
      <c r="M33" s="253">
        <v>6</v>
      </c>
      <c r="N33" s="257" t="s">
        <v>28</v>
      </c>
      <c r="O33" s="254"/>
    </row>
    <row r="34" spans="12:15" x14ac:dyDescent="0.25">
      <c r="L34" s="224"/>
      <c r="M34" s="253">
        <v>13</v>
      </c>
      <c r="N34" s="255" t="s">
        <v>31</v>
      </c>
      <c r="O34" s="255"/>
    </row>
    <row r="35" spans="12:15" x14ac:dyDescent="0.25">
      <c r="L35" s="224"/>
      <c r="M35" s="253">
        <v>20</v>
      </c>
      <c r="N35" s="255"/>
      <c r="O35" s="255"/>
    </row>
    <row r="36" spans="12:15" x14ac:dyDescent="0.25">
      <c r="L36" s="41"/>
      <c r="M36" s="253">
        <v>27</v>
      </c>
      <c r="N36" s="255"/>
      <c r="O36" s="255"/>
    </row>
  </sheetData>
  <mergeCells count="101">
    <mergeCell ref="B29:K31"/>
    <mergeCell ref="L2:N3"/>
    <mergeCell ref="L4:L6"/>
    <mergeCell ref="N4:O4"/>
    <mergeCell ref="C13:D13"/>
    <mergeCell ref="E13:F13"/>
    <mergeCell ref="G13:H13"/>
    <mergeCell ref="I13:K13"/>
    <mergeCell ref="N13:O13"/>
    <mergeCell ref="N9:O9"/>
    <mergeCell ref="L10:L12"/>
    <mergeCell ref="N10:O10"/>
    <mergeCell ref="N12:O12"/>
    <mergeCell ref="C18:D18"/>
    <mergeCell ref="E18:F18"/>
    <mergeCell ref="G18:H18"/>
    <mergeCell ref="N18:O18"/>
    <mergeCell ref="N14:O14"/>
    <mergeCell ref="C15:D15"/>
    <mergeCell ref="E15:F15"/>
    <mergeCell ref="G15:H15"/>
    <mergeCell ref="N15:O15"/>
    <mergeCell ref="C16:D16"/>
    <mergeCell ref="E16:F16"/>
    <mergeCell ref="G16:H16"/>
    <mergeCell ref="L16:L18"/>
    <mergeCell ref="N16:O16"/>
    <mergeCell ref="G23:H23"/>
    <mergeCell ref="N23:O23"/>
    <mergeCell ref="C24:D24"/>
    <mergeCell ref="N19:O19"/>
    <mergeCell ref="C20:D20"/>
    <mergeCell ref="E20:F20"/>
    <mergeCell ref="G20:H20"/>
    <mergeCell ref="N20:O20"/>
    <mergeCell ref="I19:K19"/>
    <mergeCell ref="I20:K20"/>
    <mergeCell ref="I21:K21"/>
    <mergeCell ref="I22:K22"/>
    <mergeCell ref="I23:K23"/>
    <mergeCell ref="I24:K24"/>
    <mergeCell ref="C26:D26"/>
    <mergeCell ref="E26:F26"/>
    <mergeCell ref="G26:H26"/>
    <mergeCell ref="N26:O26"/>
    <mergeCell ref="C27:D27"/>
    <mergeCell ref="E27:F27"/>
    <mergeCell ref="G27:H27"/>
    <mergeCell ref="N27:O27"/>
    <mergeCell ref="I26:K26"/>
    <mergeCell ref="I27:K27"/>
    <mergeCell ref="G25:H25"/>
    <mergeCell ref="E25:F25"/>
    <mergeCell ref="C25:D25"/>
    <mergeCell ref="B11:K12"/>
    <mergeCell ref="B2:B10"/>
    <mergeCell ref="E24:F24"/>
    <mergeCell ref="G24:H24"/>
    <mergeCell ref="C19:D19"/>
    <mergeCell ref="E19:F19"/>
    <mergeCell ref="G19:H19"/>
    <mergeCell ref="G17:H17"/>
    <mergeCell ref="C14:D14"/>
    <mergeCell ref="E14:F14"/>
    <mergeCell ref="G14:H14"/>
    <mergeCell ref="C17:D17"/>
    <mergeCell ref="E17:F17"/>
    <mergeCell ref="C21:D21"/>
    <mergeCell ref="E21:F21"/>
    <mergeCell ref="G21:H21"/>
    <mergeCell ref="C22:D22"/>
    <mergeCell ref="E22:F22"/>
    <mergeCell ref="G22:H22"/>
    <mergeCell ref="C23:D23"/>
    <mergeCell ref="E23:F23"/>
    <mergeCell ref="N11:O11"/>
    <mergeCell ref="N24:O24"/>
    <mergeCell ref="N25:O25"/>
    <mergeCell ref="N21:O21"/>
    <mergeCell ref="L22:L25"/>
    <mergeCell ref="N22:O22"/>
    <mergeCell ref="N17:O17"/>
    <mergeCell ref="N30:O30"/>
    <mergeCell ref="N31:O31"/>
    <mergeCell ref="L28:L29"/>
    <mergeCell ref="N28:O28"/>
    <mergeCell ref="N29:O29"/>
    <mergeCell ref="I25:K25"/>
    <mergeCell ref="I14:K14"/>
    <mergeCell ref="I15:K15"/>
    <mergeCell ref="I16:K16"/>
    <mergeCell ref="I17:K17"/>
    <mergeCell ref="I18:K18"/>
    <mergeCell ref="N34:O34"/>
    <mergeCell ref="N35:O35"/>
    <mergeCell ref="N36:O36"/>
    <mergeCell ref="L33:L35"/>
    <mergeCell ref="C28:D28"/>
    <mergeCell ref="E28:F28"/>
    <mergeCell ref="G28:H28"/>
    <mergeCell ref="I28:K28"/>
  </mergeCells>
  <conditionalFormatting sqref="C4:H4">
    <cfRule type="expression" dxfId="19" priority="7" stopIfTrue="1">
      <formula>DAY(C4)&gt;8</formula>
    </cfRule>
  </conditionalFormatting>
  <conditionalFormatting sqref="C8:J10">
    <cfRule type="expression" dxfId="18" priority="6" stopIfTrue="1">
      <formula>AND(DAY(C8)&gt;=1,DAY(C8)&lt;=15)</formula>
    </cfRule>
  </conditionalFormatting>
  <conditionalFormatting sqref="C4:J9">
    <cfRule type="expression" dxfId="17" priority="8">
      <formula>VLOOKUP(DAY(C4),DíasDeTareas,1,FALSE)=DAY(C4)</formula>
    </cfRule>
  </conditionalFormatting>
  <conditionalFormatting sqref="B14:K28">
    <cfRule type="expression" dxfId="3" priority="2">
      <formula>B14&lt;&gt;""</formula>
    </cfRule>
  </conditionalFormatting>
  <conditionalFormatting sqref="B29">
    <cfRule type="expression" dxfId="1" priority="1">
      <formula>B29&lt;&gt;""</formula>
    </cfRule>
  </conditionalFormatting>
  <pageMargins left="0.25" right="0.25" top="0.75" bottom="0.75" header="0.3" footer="0.3"/>
  <pageSetup paperSize="5" orientation="landscape" horizontalDpi="4294967293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zoomScale="50" zoomScaleNormal="50" workbookViewId="0">
      <selection activeCell="A10" sqref="A10:J30"/>
    </sheetView>
  </sheetViews>
  <sheetFormatPr baseColWidth="10" defaultRowHeight="13.2" x14ac:dyDescent="0.25"/>
  <cols>
    <col min="2" max="7" width="3.21875" bestFit="1" customWidth="1"/>
    <col min="8" max="8" width="3.21875" customWidth="1"/>
    <col min="9" max="9" width="2.5546875" customWidth="1"/>
    <col min="10" max="10" width="16.109375" hidden="1" customWidth="1"/>
    <col min="13" max="13" width="159.5546875" customWidth="1"/>
    <col min="14" max="14" width="76.5546875" hidden="1" customWidth="1"/>
  </cols>
  <sheetData>
    <row r="1" spans="1:14" x14ac:dyDescent="0.25">
      <c r="A1" s="124" t="s">
        <v>23</v>
      </c>
      <c r="B1" s="125"/>
      <c r="C1" s="125"/>
      <c r="D1" s="125"/>
      <c r="E1" s="125"/>
      <c r="F1" s="125"/>
      <c r="G1" s="125"/>
      <c r="H1" s="125"/>
      <c r="I1" s="125"/>
      <c r="J1" s="126"/>
      <c r="K1" s="127" t="s">
        <v>3</v>
      </c>
      <c r="L1" s="128">
        <v>2013</v>
      </c>
      <c r="M1" s="128"/>
      <c r="N1" s="129"/>
    </row>
    <row r="2" spans="1:14" x14ac:dyDescent="0.25">
      <c r="A2" s="130"/>
      <c r="B2" s="131" t="s">
        <v>5</v>
      </c>
      <c r="C2" s="131" t="s">
        <v>1</v>
      </c>
      <c r="D2" s="131" t="s">
        <v>6</v>
      </c>
      <c r="E2" s="131" t="s">
        <v>7</v>
      </c>
      <c r="F2" s="131" t="s">
        <v>8</v>
      </c>
      <c r="G2" s="131" t="s">
        <v>0</v>
      </c>
      <c r="H2" s="131" t="s">
        <v>9</v>
      </c>
      <c r="I2" s="131"/>
      <c r="J2" s="132"/>
      <c r="K2" s="133"/>
      <c r="L2" s="134"/>
      <c r="M2" s="134"/>
      <c r="N2" s="135"/>
    </row>
    <row r="3" spans="1:14" x14ac:dyDescent="0.25">
      <c r="A3" s="130"/>
      <c r="B3" s="136"/>
      <c r="C3" s="136"/>
      <c r="D3" s="136"/>
      <c r="E3" s="136"/>
      <c r="F3" s="136">
        <v>1</v>
      </c>
      <c r="G3" s="136">
        <v>2</v>
      </c>
      <c r="H3" s="136">
        <v>3</v>
      </c>
      <c r="I3" s="136"/>
      <c r="J3" s="132"/>
      <c r="K3" s="137" t="s">
        <v>11</v>
      </c>
      <c r="L3" s="247"/>
      <c r="M3" s="240"/>
      <c r="N3" s="241"/>
    </row>
    <row r="4" spans="1:14" x14ac:dyDescent="0.25">
      <c r="A4" s="130"/>
      <c r="B4" s="136">
        <v>4</v>
      </c>
      <c r="C4" s="136">
        <v>5</v>
      </c>
      <c r="D4" s="136">
        <v>6</v>
      </c>
      <c r="E4" s="136">
        <v>7</v>
      </c>
      <c r="F4" s="136">
        <v>8</v>
      </c>
      <c r="G4" s="136">
        <v>9</v>
      </c>
      <c r="H4" s="136">
        <v>10</v>
      </c>
      <c r="I4" s="136"/>
      <c r="J4" s="132"/>
      <c r="K4" s="138"/>
      <c r="L4" s="248">
        <v>4</v>
      </c>
      <c r="M4" s="242" t="s">
        <v>60</v>
      </c>
      <c r="N4" s="242"/>
    </row>
    <row r="5" spans="1:14" x14ac:dyDescent="0.25">
      <c r="A5" s="130"/>
      <c r="B5" s="136">
        <v>11</v>
      </c>
      <c r="C5" s="136">
        <v>12</v>
      </c>
      <c r="D5" s="136">
        <v>13</v>
      </c>
      <c r="E5" s="136">
        <v>14</v>
      </c>
      <c r="F5" s="136">
        <v>15</v>
      </c>
      <c r="G5" s="136">
        <v>16</v>
      </c>
      <c r="H5" s="136">
        <v>17</v>
      </c>
      <c r="I5" s="136"/>
      <c r="J5" s="132"/>
      <c r="K5" s="138"/>
      <c r="L5" s="248">
        <v>11</v>
      </c>
      <c r="M5" s="242" t="s">
        <v>52</v>
      </c>
      <c r="N5" s="242"/>
    </row>
    <row r="6" spans="1:14" x14ac:dyDescent="0.25">
      <c r="A6" s="130"/>
      <c r="B6" s="136">
        <v>18</v>
      </c>
      <c r="C6" s="136">
        <v>19</v>
      </c>
      <c r="D6" s="136">
        <v>20</v>
      </c>
      <c r="E6" s="136">
        <v>21</v>
      </c>
      <c r="F6" s="136">
        <v>22</v>
      </c>
      <c r="G6" s="136">
        <v>23</v>
      </c>
      <c r="H6" s="136">
        <v>24</v>
      </c>
      <c r="I6" s="136"/>
      <c r="J6" s="132"/>
      <c r="K6" s="139"/>
      <c r="L6" s="248">
        <v>18</v>
      </c>
      <c r="M6" s="242" t="s">
        <v>57</v>
      </c>
      <c r="N6" s="242"/>
    </row>
    <row r="7" spans="1:14" x14ac:dyDescent="0.25">
      <c r="A7" s="130"/>
      <c r="B7" s="136">
        <v>25</v>
      </c>
      <c r="C7" s="136">
        <v>26</v>
      </c>
      <c r="D7" s="136">
        <v>27</v>
      </c>
      <c r="E7" s="136">
        <v>28</v>
      </c>
      <c r="F7" s="136"/>
      <c r="G7" s="136"/>
      <c r="H7" s="136"/>
      <c r="I7" s="136"/>
      <c r="J7" s="132"/>
      <c r="K7" s="139"/>
      <c r="L7" s="248">
        <v>25</v>
      </c>
      <c r="M7" s="242" t="s">
        <v>43</v>
      </c>
      <c r="N7" s="242"/>
    </row>
    <row r="8" spans="1:14" x14ac:dyDescent="0.25">
      <c r="A8" s="130"/>
      <c r="B8" s="136"/>
      <c r="C8" s="136"/>
      <c r="D8" s="136"/>
      <c r="E8" s="136"/>
      <c r="F8" s="136"/>
      <c r="G8" s="136"/>
      <c r="H8" s="136"/>
      <c r="I8" s="136"/>
      <c r="J8" s="140"/>
      <c r="K8" s="141"/>
      <c r="L8" s="248"/>
      <c r="M8" s="242"/>
      <c r="N8" s="242"/>
    </row>
    <row r="9" spans="1:14" x14ac:dyDescent="0.25">
      <c r="A9" s="142"/>
      <c r="B9" s="143"/>
      <c r="C9" s="143"/>
      <c r="D9" s="143"/>
      <c r="E9" s="143"/>
      <c r="F9" s="143"/>
      <c r="G9" s="143"/>
      <c r="H9" s="143"/>
      <c r="I9" s="143"/>
      <c r="J9" s="144"/>
      <c r="K9" s="145" t="s">
        <v>12</v>
      </c>
      <c r="L9" s="248">
        <v>5</v>
      </c>
      <c r="M9" s="242" t="s">
        <v>48</v>
      </c>
      <c r="N9" s="242"/>
    </row>
    <row r="10" spans="1:14" x14ac:dyDescent="0.25">
      <c r="A10" s="146" t="s">
        <v>10</v>
      </c>
      <c r="B10" s="147"/>
      <c r="C10" s="147"/>
      <c r="D10" s="147"/>
      <c r="E10" s="147"/>
      <c r="F10" s="147"/>
      <c r="G10" s="147"/>
      <c r="H10" s="147"/>
      <c r="I10" s="147"/>
      <c r="J10" s="148"/>
      <c r="K10" s="138"/>
      <c r="L10" s="248">
        <v>12</v>
      </c>
      <c r="M10" s="242" t="s">
        <v>53</v>
      </c>
      <c r="N10" s="242"/>
    </row>
    <row r="11" spans="1:14" x14ac:dyDescent="0.25">
      <c r="A11" s="149"/>
      <c r="B11" s="150"/>
      <c r="C11" s="150"/>
      <c r="D11" s="150"/>
      <c r="E11" s="150"/>
      <c r="F11" s="150"/>
      <c r="G11" s="150"/>
      <c r="H11" s="150"/>
      <c r="I11" s="150"/>
      <c r="J11" s="151"/>
      <c r="K11" s="138"/>
      <c r="L11" s="248">
        <v>19</v>
      </c>
      <c r="M11" s="242" t="s">
        <v>58</v>
      </c>
      <c r="N11" s="242"/>
    </row>
    <row r="12" spans="1:14" x14ac:dyDescent="0.25">
      <c r="A12" s="152" t="s">
        <v>11</v>
      </c>
      <c r="B12" s="153" t="s">
        <v>12</v>
      </c>
      <c r="C12" s="154"/>
      <c r="D12" s="153" t="s">
        <v>14</v>
      </c>
      <c r="E12" s="154"/>
      <c r="F12" s="153" t="s">
        <v>14</v>
      </c>
      <c r="G12" s="154"/>
      <c r="H12" s="153" t="s">
        <v>26</v>
      </c>
      <c r="I12" s="155"/>
      <c r="J12" s="154"/>
      <c r="K12" s="139"/>
      <c r="L12" s="248">
        <v>26</v>
      </c>
      <c r="M12" s="242" t="s">
        <v>61</v>
      </c>
      <c r="N12" s="242"/>
    </row>
    <row r="13" spans="1:14" x14ac:dyDescent="0.25">
      <c r="A13" s="156"/>
      <c r="B13" s="162"/>
      <c r="C13" s="163"/>
      <c r="D13" s="162"/>
      <c r="E13" s="163"/>
      <c r="F13" s="162"/>
      <c r="G13" s="163"/>
      <c r="H13" s="162"/>
      <c r="I13" s="164"/>
      <c r="J13" s="163"/>
      <c r="K13" s="165" t="s">
        <v>13</v>
      </c>
      <c r="L13" s="248"/>
      <c r="M13" s="242"/>
      <c r="N13" s="242"/>
    </row>
    <row r="14" spans="1:14" x14ac:dyDescent="0.25">
      <c r="A14" s="157"/>
      <c r="B14" s="158"/>
      <c r="C14" s="159"/>
      <c r="D14" s="158"/>
      <c r="E14" s="159"/>
      <c r="F14" s="158"/>
      <c r="G14" s="159"/>
      <c r="H14" s="158"/>
      <c r="I14" s="160"/>
      <c r="J14" s="159"/>
      <c r="K14" s="166"/>
      <c r="L14" s="248">
        <v>6</v>
      </c>
      <c r="M14" s="242" t="s">
        <v>49</v>
      </c>
      <c r="N14" s="242"/>
    </row>
    <row r="15" spans="1:14" x14ac:dyDescent="0.25">
      <c r="A15" s="167"/>
      <c r="B15" s="162"/>
      <c r="C15" s="163"/>
      <c r="D15" s="162"/>
      <c r="E15" s="163"/>
      <c r="F15" s="162"/>
      <c r="G15" s="163"/>
      <c r="H15" s="162"/>
      <c r="I15" s="164"/>
      <c r="J15" s="163"/>
      <c r="K15" s="166"/>
      <c r="L15" s="248">
        <v>13</v>
      </c>
      <c r="M15" s="242" t="s">
        <v>54</v>
      </c>
      <c r="N15" s="242"/>
    </row>
    <row r="16" spans="1:14" x14ac:dyDescent="0.25">
      <c r="A16" s="157"/>
      <c r="B16" s="158"/>
      <c r="C16" s="159"/>
      <c r="D16" s="158"/>
      <c r="E16" s="159"/>
      <c r="F16" s="158"/>
      <c r="G16" s="159"/>
      <c r="H16" s="158"/>
      <c r="I16" s="160"/>
      <c r="J16" s="159"/>
      <c r="K16" s="139"/>
      <c r="L16" s="248">
        <v>20</v>
      </c>
      <c r="M16" s="242" t="s">
        <v>61</v>
      </c>
      <c r="N16" s="242"/>
    </row>
    <row r="17" spans="1:14" x14ac:dyDescent="0.25">
      <c r="A17" s="156"/>
      <c r="B17" s="162"/>
      <c r="C17" s="163"/>
      <c r="D17" s="162"/>
      <c r="E17" s="163"/>
      <c r="F17" s="162"/>
      <c r="G17" s="163"/>
      <c r="H17" s="162"/>
      <c r="I17" s="164"/>
      <c r="J17" s="163"/>
      <c r="K17" s="139"/>
      <c r="L17" s="248">
        <v>21</v>
      </c>
      <c r="M17" s="242" t="s">
        <v>61</v>
      </c>
      <c r="N17" s="242"/>
    </row>
    <row r="18" spans="1:14" x14ac:dyDescent="0.25">
      <c r="A18" s="157"/>
      <c r="B18" s="158"/>
      <c r="C18" s="159"/>
      <c r="D18" s="158"/>
      <c r="E18" s="159"/>
      <c r="F18" s="158"/>
      <c r="G18" s="159"/>
      <c r="H18" s="158"/>
      <c r="I18" s="160"/>
      <c r="J18" s="159"/>
      <c r="K18" s="161"/>
      <c r="L18" s="248">
        <v>27</v>
      </c>
      <c r="M18" s="242" t="s">
        <v>61</v>
      </c>
      <c r="N18" s="242"/>
    </row>
    <row r="19" spans="1:14" ht="13.8" x14ac:dyDescent="0.3">
      <c r="A19" s="156"/>
      <c r="B19" s="162"/>
      <c r="C19" s="163"/>
      <c r="D19" s="162"/>
      <c r="E19" s="163"/>
      <c r="F19" s="162"/>
      <c r="G19" s="163"/>
      <c r="H19" s="162"/>
      <c r="I19" s="164"/>
      <c r="J19" s="163"/>
      <c r="K19" s="165" t="s">
        <v>14</v>
      </c>
      <c r="L19" s="248"/>
      <c r="M19" s="243"/>
      <c r="N19" s="243"/>
    </row>
    <row r="20" spans="1:14" x14ac:dyDescent="0.25">
      <c r="A20" s="157"/>
      <c r="B20" s="158"/>
      <c r="C20" s="159"/>
      <c r="D20" s="158"/>
      <c r="E20" s="159"/>
      <c r="F20" s="158"/>
      <c r="G20" s="159"/>
      <c r="H20" s="158"/>
      <c r="I20" s="160"/>
      <c r="J20" s="159"/>
      <c r="K20" s="166"/>
      <c r="L20" s="248">
        <v>7</v>
      </c>
      <c r="M20" s="242" t="s">
        <v>51</v>
      </c>
      <c r="N20" s="242"/>
    </row>
    <row r="21" spans="1:14" x14ac:dyDescent="0.25">
      <c r="A21" s="156"/>
      <c r="B21" s="162"/>
      <c r="C21" s="163"/>
      <c r="D21" s="162"/>
      <c r="E21" s="163"/>
      <c r="F21" s="162"/>
      <c r="G21" s="163"/>
      <c r="H21" s="162"/>
      <c r="I21" s="164"/>
      <c r="J21" s="163"/>
      <c r="K21" s="166"/>
      <c r="L21" s="248">
        <v>14</v>
      </c>
      <c r="M21" s="242" t="s">
        <v>55</v>
      </c>
      <c r="N21" s="242"/>
    </row>
    <row r="22" spans="1:14" x14ac:dyDescent="0.25">
      <c r="A22" s="157"/>
      <c r="B22" s="158"/>
      <c r="C22" s="159"/>
      <c r="D22" s="158"/>
      <c r="E22" s="159"/>
      <c r="F22" s="158"/>
      <c r="G22" s="159"/>
      <c r="H22" s="158"/>
      <c r="I22" s="160"/>
      <c r="J22" s="159"/>
      <c r="K22" s="166"/>
      <c r="L22" s="248">
        <v>21</v>
      </c>
      <c r="M22" s="242" t="s">
        <v>61</v>
      </c>
      <c r="N22" s="242"/>
    </row>
    <row r="23" spans="1:14" x14ac:dyDescent="0.25">
      <c r="A23" s="156"/>
      <c r="B23" s="162"/>
      <c r="C23" s="163"/>
      <c r="D23" s="162"/>
      <c r="E23" s="163"/>
      <c r="F23" s="162"/>
      <c r="G23" s="163"/>
      <c r="H23" s="162"/>
      <c r="I23" s="164"/>
      <c r="J23" s="163"/>
      <c r="K23" s="139"/>
      <c r="L23" s="248">
        <v>28</v>
      </c>
      <c r="M23" s="242" t="s">
        <v>59</v>
      </c>
      <c r="N23" s="242"/>
    </row>
    <row r="24" spans="1:14" x14ac:dyDescent="0.25">
      <c r="A24" s="157"/>
      <c r="B24" s="158"/>
      <c r="C24" s="159"/>
      <c r="D24" s="158"/>
      <c r="E24" s="159"/>
      <c r="F24" s="158"/>
      <c r="G24" s="159"/>
      <c r="H24" s="158"/>
      <c r="I24" s="160"/>
      <c r="J24" s="159"/>
      <c r="K24" s="161"/>
      <c r="L24" s="248"/>
      <c r="M24" s="242"/>
      <c r="N24" s="242"/>
    </row>
    <row r="25" spans="1:14" x14ac:dyDescent="0.25">
      <c r="A25" s="156"/>
      <c r="B25" s="162"/>
      <c r="C25" s="163"/>
      <c r="D25" s="162"/>
      <c r="E25" s="163"/>
      <c r="F25" s="162"/>
      <c r="G25" s="163"/>
      <c r="H25" s="162"/>
      <c r="I25" s="164"/>
      <c r="J25" s="163"/>
      <c r="K25" s="145" t="s">
        <v>15</v>
      </c>
      <c r="L25" s="248"/>
      <c r="M25" s="242"/>
      <c r="N25" s="242"/>
    </row>
    <row r="26" spans="1:14" x14ac:dyDescent="0.25">
      <c r="A26" s="157"/>
      <c r="B26" s="158"/>
      <c r="C26" s="159"/>
      <c r="D26" s="158"/>
      <c r="E26" s="159"/>
      <c r="F26" s="158"/>
      <c r="G26" s="159"/>
      <c r="H26" s="158"/>
      <c r="I26" s="160"/>
      <c r="J26" s="159"/>
      <c r="K26" s="138"/>
      <c r="L26" s="248">
        <v>1</v>
      </c>
      <c r="M26" s="242" t="s">
        <v>47</v>
      </c>
      <c r="N26" s="242"/>
    </row>
    <row r="27" spans="1:14" ht="13.8" x14ac:dyDescent="0.3">
      <c r="A27" s="156"/>
      <c r="B27" s="168"/>
      <c r="C27" s="169"/>
      <c r="D27" s="168"/>
      <c r="E27" s="169"/>
      <c r="F27" s="168"/>
      <c r="G27" s="169"/>
      <c r="H27" s="168"/>
      <c r="I27" s="170"/>
      <c r="J27" s="169"/>
      <c r="K27" s="138"/>
      <c r="L27" s="248">
        <v>8</v>
      </c>
      <c r="M27" s="243" t="s">
        <v>50</v>
      </c>
      <c r="N27" s="242"/>
    </row>
    <row r="28" spans="1:14" x14ac:dyDescent="0.25">
      <c r="A28" s="171"/>
      <c r="B28" s="172"/>
      <c r="C28" s="172"/>
      <c r="D28" s="172"/>
      <c r="E28" s="172"/>
      <c r="F28" s="172"/>
      <c r="G28" s="172"/>
      <c r="H28" s="172"/>
      <c r="I28" s="172"/>
      <c r="J28" s="173"/>
      <c r="K28" s="174"/>
      <c r="L28" s="248">
        <v>15</v>
      </c>
      <c r="M28" s="242" t="s">
        <v>56</v>
      </c>
      <c r="N28" s="242"/>
    </row>
    <row r="29" spans="1:14" x14ac:dyDescent="0.25">
      <c r="A29" s="175"/>
      <c r="B29" s="176"/>
      <c r="C29" s="176"/>
      <c r="D29" s="176"/>
      <c r="E29" s="176"/>
      <c r="F29" s="176"/>
      <c r="G29" s="176"/>
      <c r="H29" s="176"/>
      <c r="I29" s="176"/>
      <c r="J29" s="177"/>
      <c r="K29" s="174"/>
      <c r="L29" s="248">
        <v>22</v>
      </c>
      <c r="M29" s="242"/>
      <c r="N29" s="242"/>
    </row>
    <row r="30" spans="1:14" x14ac:dyDescent="0.25">
      <c r="A30" s="178"/>
      <c r="B30" s="179"/>
      <c r="C30" s="179"/>
      <c r="D30" s="179"/>
      <c r="E30" s="179"/>
      <c r="F30" s="179"/>
      <c r="G30" s="179"/>
      <c r="H30" s="179"/>
      <c r="I30" s="179"/>
      <c r="J30" s="180"/>
      <c r="K30" s="181"/>
      <c r="L30" s="249"/>
      <c r="M30" s="244"/>
      <c r="N30" s="244"/>
    </row>
    <row r="31" spans="1:14" x14ac:dyDescent="0.25">
      <c r="A31" s="123"/>
      <c r="B31" s="123"/>
      <c r="C31" s="123"/>
      <c r="D31" s="123"/>
      <c r="E31" s="123"/>
      <c r="F31" s="123"/>
      <c r="G31" s="123"/>
      <c r="H31" s="123"/>
      <c r="I31" s="123"/>
      <c r="J31" s="123"/>
      <c r="K31" s="145" t="s">
        <v>24</v>
      </c>
      <c r="L31" s="245"/>
      <c r="M31" s="245"/>
      <c r="N31" s="245"/>
    </row>
    <row r="32" spans="1:14" x14ac:dyDescent="0.25">
      <c r="A32" s="123"/>
      <c r="B32" s="123"/>
      <c r="C32" s="123"/>
      <c r="D32" s="123"/>
      <c r="E32" s="123"/>
      <c r="F32" s="123"/>
      <c r="G32" s="123"/>
      <c r="H32" s="123"/>
      <c r="I32" s="123"/>
      <c r="J32" s="123"/>
      <c r="K32" s="138"/>
      <c r="L32" s="248">
        <v>2</v>
      </c>
      <c r="M32" s="245"/>
      <c r="N32" s="245"/>
    </row>
    <row r="33" spans="1:14" x14ac:dyDescent="0.25">
      <c r="A33" s="123"/>
      <c r="B33" s="123"/>
      <c r="C33" s="123"/>
      <c r="D33" s="123"/>
      <c r="E33" s="123"/>
      <c r="F33" s="123"/>
      <c r="G33" s="123"/>
      <c r="H33" s="123"/>
      <c r="I33" s="123"/>
      <c r="J33" s="123"/>
      <c r="K33" s="138"/>
      <c r="L33" s="248">
        <v>10</v>
      </c>
      <c r="M33" s="242" t="s">
        <v>62</v>
      </c>
      <c r="N33" s="242"/>
    </row>
    <row r="34" spans="1:14" x14ac:dyDescent="0.25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248">
        <v>17</v>
      </c>
      <c r="M34" s="242" t="s">
        <v>63</v>
      </c>
      <c r="N34" s="242"/>
    </row>
    <row r="35" spans="1:14" x14ac:dyDescent="0.25">
      <c r="A35" s="123"/>
      <c r="B35" s="123"/>
      <c r="C35" s="123"/>
      <c r="D35" s="123"/>
      <c r="E35" s="123"/>
      <c r="F35" s="123"/>
      <c r="G35" s="123"/>
      <c r="H35" s="123"/>
      <c r="I35" s="123"/>
      <c r="J35" s="123"/>
      <c r="K35" s="123"/>
      <c r="L35" s="248">
        <v>23</v>
      </c>
      <c r="M35" s="242" t="s">
        <v>64</v>
      </c>
      <c r="N35" s="242"/>
    </row>
    <row r="36" spans="1:14" x14ac:dyDescent="0.25">
      <c r="A36" s="123"/>
      <c r="B36" s="123"/>
      <c r="C36" s="123"/>
      <c r="D36" s="123"/>
      <c r="E36" s="123"/>
      <c r="F36" s="123"/>
      <c r="G36" s="123"/>
      <c r="H36" s="123"/>
      <c r="I36" s="123"/>
      <c r="J36" s="123"/>
      <c r="K36" s="145" t="s">
        <v>25</v>
      </c>
      <c r="L36" s="248">
        <v>3</v>
      </c>
      <c r="M36" s="246"/>
      <c r="N36" s="245"/>
    </row>
    <row r="37" spans="1:14" x14ac:dyDescent="0.25">
      <c r="A37" s="123"/>
      <c r="B37" s="123"/>
      <c r="C37" s="123"/>
      <c r="D37" s="123"/>
      <c r="E37" s="123"/>
      <c r="F37" s="123"/>
      <c r="G37" s="123"/>
      <c r="H37" s="123"/>
      <c r="I37" s="123"/>
      <c r="J37" s="123"/>
      <c r="K37" s="138"/>
      <c r="L37" s="248">
        <v>13</v>
      </c>
      <c r="M37" s="242" t="s">
        <v>65</v>
      </c>
      <c r="N37" s="242"/>
    </row>
    <row r="38" spans="1:14" x14ac:dyDescent="0.25">
      <c r="A38" s="123"/>
      <c r="B38" s="123"/>
      <c r="C38" s="123"/>
      <c r="D38" s="123"/>
      <c r="E38" s="123"/>
      <c r="F38" s="123"/>
      <c r="G38" s="123"/>
      <c r="H38" s="123"/>
      <c r="I38" s="123"/>
      <c r="J38" s="123"/>
      <c r="K38" s="138"/>
      <c r="L38" s="248">
        <v>20</v>
      </c>
      <c r="M38" s="242" t="s">
        <v>65</v>
      </c>
      <c r="N38" s="242"/>
    </row>
    <row r="39" spans="1:14" x14ac:dyDescent="0.25">
      <c r="A39" s="123"/>
      <c r="B39" s="123"/>
      <c r="C39" s="123"/>
      <c r="D39" s="123"/>
      <c r="E39" s="123"/>
      <c r="F39" s="123"/>
      <c r="G39" s="123"/>
      <c r="H39" s="123"/>
      <c r="I39" s="123"/>
      <c r="J39" s="123"/>
      <c r="K39" s="123"/>
      <c r="L39" s="248">
        <v>24</v>
      </c>
      <c r="M39" s="242" t="s">
        <v>66</v>
      </c>
      <c r="N39" s="242"/>
    </row>
    <row r="40" spans="1:14" x14ac:dyDescent="0.25">
      <c r="A40" s="123"/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</row>
    <row r="41" spans="1:14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</row>
    <row r="42" spans="1:14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</row>
  </sheetData>
  <mergeCells count="109">
    <mergeCell ref="M35:N35"/>
    <mergeCell ref="K36:K38"/>
    <mergeCell ref="M37:N37"/>
    <mergeCell ref="M38:N38"/>
    <mergeCell ref="M39:N39"/>
    <mergeCell ref="M28:N28"/>
    <mergeCell ref="M29:N29"/>
    <mergeCell ref="M30:N30"/>
    <mergeCell ref="K31:K33"/>
    <mergeCell ref="M33:N33"/>
    <mergeCell ref="M34:N34"/>
    <mergeCell ref="M23:N23"/>
    <mergeCell ref="M24:N24"/>
    <mergeCell ref="K25:K27"/>
    <mergeCell ref="M25:N25"/>
    <mergeCell ref="M26:N26"/>
    <mergeCell ref="M27:N27"/>
    <mergeCell ref="M16:N16"/>
    <mergeCell ref="M17:N17"/>
    <mergeCell ref="M18:N18"/>
    <mergeCell ref="K19:K22"/>
    <mergeCell ref="M19:N19"/>
    <mergeCell ref="M20:N20"/>
    <mergeCell ref="M21:N21"/>
    <mergeCell ref="M22:N22"/>
    <mergeCell ref="M12:N12"/>
    <mergeCell ref="K13:K15"/>
    <mergeCell ref="M13:N13"/>
    <mergeCell ref="M14:N14"/>
    <mergeCell ref="M15:N15"/>
    <mergeCell ref="M6:N6"/>
    <mergeCell ref="M7:N7"/>
    <mergeCell ref="M8:N8"/>
    <mergeCell ref="K9:K11"/>
    <mergeCell ref="M9:N9"/>
    <mergeCell ref="M10:N10"/>
    <mergeCell ref="M11:N11"/>
    <mergeCell ref="B27:C27"/>
    <mergeCell ref="D27:E27"/>
    <mergeCell ref="F27:G27"/>
    <mergeCell ref="H27:J27"/>
    <mergeCell ref="A28:J30"/>
    <mergeCell ref="K1:M2"/>
    <mergeCell ref="K3:K5"/>
    <mergeCell ref="M3:N3"/>
    <mergeCell ref="M4:N4"/>
    <mergeCell ref="M5:N5"/>
    <mergeCell ref="B25:C25"/>
    <mergeCell ref="D25:E25"/>
    <mergeCell ref="F25:G25"/>
    <mergeCell ref="H25:J25"/>
    <mergeCell ref="B26:C26"/>
    <mergeCell ref="D26:E26"/>
    <mergeCell ref="F26:G26"/>
    <mergeCell ref="H26:J26"/>
    <mergeCell ref="B23:C23"/>
    <mergeCell ref="D23:E23"/>
    <mergeCell ref="F23:G23"/>
    <mergeCell ref="H23:J23"/>
    <mergeCell ref="B24:C24"/>
    <mergeCell ref="D24:E24"/>
    <mergeCell ref="F24:G24"/>
    <mergeCell ref="H24:J24"/>
    <mergeCell ref="B21:C21"/>
    <mergeCell ref="D21:E21"/>
    <mergeCell ref="F21:G21"/>
    <mergeCell ref="H21:J21"/>
    <mergeCell ref="B22:C22"/>
    <mergeCell ref="D22:E22"/>
    <mergeCell ref="F22:G22"/>
    <mergeCell ref="H22:J22"/>
    <mergeCell ref="B19:C19"/>
    <mergeCell ref="D19:E19"/>
    <mergeCell ref="F19:G19"/>
    <mergeCell ref="H19:J19"/>
    <mergeCell ref="B20:C20"/>
    <mergeCell ref="D20:E20"/>
    <mergeCell ref="F20:G20"/>
    <mergeCell ref="H20:J20"/>
    <mergeCell ref="B17:C17"/>
    <mergeCell ref="D17:E17"/>
    <mergeCell ref="F17:G17"/>
    <mergeCell ref="H17:J17"/>
    <mergeCell ref="B18:C18"/>
    <mergeCell ref="D18:E18"/>
    <mergeCell ref="F18:G18"/>
    <mergeCell ref="H18:J18"/>
    <mergeCell ref="B15:C15"/>
    <mergeCell ref="D15:E15"/>
    <mergeCell ref="F15:G15"/>
    <mergeCell ref="H15:J15"/>
    <mergeCell ref="B16:C16"/>
    <mergeCell ref="D16:E16"/>
    <mergeCell ref="F16:G16"/>
    <mergeCell ref="H16:J16"/>
    <mergeCell ref="B13:C13"/>
    <mergeCell ref="D13:E13"/>
    <mergeCell ref="F13:G13"/>
    <mergeCell ref="H13:J13"/>
    <mergeCell ref="B14:C14"/>
    <mergeCell ref="D14:E14"/>
    <mergeCell ref="F14:G14"/>
    <mergeCell ref="H14:J14"/>
    <mergeCell ref="A1:A9"/>
    <mergeCell ref="A10:J11"/>
    <mergeCell ref="B12:C12"/>
    <mergeCell ref="D12:E12"/>
    <mergeCell ref="F12:G12"/>
    <mergeCell ref="H12:J12"/>
  </mergeCells>
  <conditionalFormatting sqref="B3:G3">
    <cfRule type="expression" dxfId="14" priority="5" stopIfTrue="1">
      <formula>DAY(B3)&gt;8</formula>
    </cfRule>
  </conditionalFormatting>
  <conditionalFormatting sqref="B7:I9">
    <cfRule type="expression" dxfId="13" priority="4" stopIfTrue="1">
      <formula>AND(DAY(B7)&gt;=1,DAY(B7)&lt;=15)</formula>
    </cfRule>
  </conditionalFormatting>
  <conditionalFormatting sqref="B3:I8">
    <cfRule type="expression" dxfId="12" priority="6">
      <formula>VLOOKUP(DAY(B3),DíasDeTareas,1,FALSE)=DAY(B3)</formula>
    </cfRule>
  </conditionalFormatting>
  <conditionalFormatting sqref="A13:J27">
    <cfRule type="expression" dxfId="11" priority="3">
      <formula>A13&lt;&gt;""</formula>
    </cfRule>
  </conditionalFormatting>
  <conditionalFormatting sqref="A28">
    <cfRule type="expression" dxfId="10" priority="2">
      <formula>A28&lt;&gt;""</formula>
    </cfRule>
  </conditionalFormatting>
  <pageMargins left="0.25" right="0.25" top="0.75" bottom="0.75" header="0.3" footer="0.3"/>
  <pageSetup paperSize="5" orientation="landscape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opLeftCell="B13" workbookViewId="0">
      <selection activeCell="K3" sqref="K3:N44"/>
    </sheetView>
  </sheetViews>
  <sheetFormatPr baseColWidth="10" defaultRowHeight="13.2" x14ac:dyDescent="0.25"/>
  <cols>
    <col min="2" max="8" width="3.21875" bestFit="1" customWidth="1"/>
    <col min="9" max="9" width="4.21875" customWidth="1"/>
    <col min="10" max="10" width="2.88671875" customWidth="1"/>
    <col min="13" max="13" width="95.44140625" customWidth="1"/>
    <col min="14" max="14" width="21.21875" hidden="1" customWidth="1"/>
  </cols>
  <sheetData>
    <row r="1" spans="1:14" x14ac:dyDescent="0.25">
      <c r="A1" s="106" t="s">
        <v>22</v>
      </c>
      <c r="B1" s="29"/>
      <c r="C1" s="29"/>
      <c r="D1" s="29"/>
      <c r="E1" s="29"/>
      <c r="F1" s="29"/>
      <c r="G1" s="29"/>
      <c r="H1" s="29"/>
      <c r="I1" s="29"/>
      <c r="J1" s="30"/>
      <c r="K1" s="118" t="s">
        <v>3</v>
      </c>
      <c r="L1" s="119">
        <v>2013</v>
      </c>
      <c r="M1" s="119"/>
      <c r="N1" s="31"/>
    </row>
    <row r="2" spans="1:14" x14ac:dyDescent="0.25">
      <c r="A2" s="107"/>
      <c r="B2" s="32" t="s">
        <v>5</v>
      </c>
      <c r="C2" s="32" t="s">
        <v>1</v>
      </c>
      <c r="D2" s="32" t="s">
        <v>6</v>
      </c>
      <c r="E2" s="32" t="s">
        <v>7</v>
      </c>
      <c r="F2" s="32" t="s">
        <v>8</v>
      </c>
      <c r="G2" s="32" t="s">
        <v>0</v>
      </c>
      <c r="H2" s="32" t="s">
        <v>9</v>
      </c>
      <c r="I2" s="32"/>
      <c r="J2" s="33"/>
      <c r="K2" s="266"/>
      <c r="L2" s="267"/>
      <c r="M2" s="267"/>
      <c r="N2" s="268"/>
    </row>
    <row r="3" spans="1:14" ht="13.8" x14ac:dyDescent="0.25">
      <c r="A3" s="107"/>
      <c r="B3" s="34"/>
      <c r="C3" s="34"/>
      <c r="D3" s="34"/>
      <c r="E3" s="34"/>
      <c r="F3" s="34">
        <v>1</v>
      </c>
      <c r="G3" s="34">
        <v>2</v>
      </c>
      <c r="H3" s="34">
        <v>3</v>
      </c>
      <c r="I3" s="34"/>
      <c r="J3" s="262"/>
      <c r="K3" s="269" t="s">
        <v>11</v>
      </c>
      <c r="L3" s="270"/>
      <c r="M3" s="271"/>
      <c r="N3" s="271"/>
    </row>
    <row r="4" spans="1:14" ht="13.8" x14ac:dyDescent="0.25">
      <c r="A4" s="107"/>
      <c r="B4" s="34">
        <v>4</v>
      </c>
      <c r="C4" s="34">
        <v>5</v>
      </c>
      <c r="D4" s="34">
        <v>6</v>
      </c>
      <c r="E4" s="34">
        <v>7</v>
      </c>
      <c r="F4" s="34">
        <v>8</v>
      </c>
      <c r="G4" s="34">
        <v>9</v>
      </c>
      <c r="H4" s="34">
        <v>10</v>
      </c>
      <c r="I4" s="34"/>
      <c r="J4" s="262"/>
      <c r="K4" s="269"/>
      <c r="L4" s="270">
        <v>4</v>
      </c>
      <c r="M4" s="255"/>
      <c r="N4" s="255"/>
    </row>
    <row r="5" spans="1:14" ht="13.8" x14ac:dyDescent="0.25">
      <c r="A5" s="107"/>
      <c r="B5" s="34">
        <v>11</v>
      </c>
      <c r="C5" s="34">
        <v>12</v>
      </c>
      <c r="D5" s="34">
        <v>13</v>
      </c>
      <c r="E5" s="34">
        <v>14</v>
      </c>
      <c r="F5" s="34">
        <v>15</v>
      </c>
      <c r="G5" s="34">
        <v>16</v>
      </c>
      <c r="H5" s="34">
        <v>17</v>
      </c>
      <c r="I5" s="34"/>
      <c r="J5" s="262"/>
      <c r="K5" s="269"/>
      <c r="L5" s="270">
        <v>11</v>
      </c>
      <c r="M5" s="255"/>
      <c r="N5" s="255"/>
    </row>
    <row r="6" spans="1:14" ht="13.8" x14ac:dyDescent="0.25">
      <c r="A6" s="107"/>
      <c r="B6" s="34">
        <v>18</v>
      </c>
      <c r="C6" s="34">
        <v>19</v>
      </c>
      <c r="D6" s="34">
        <v>20</v>
      </c>
      <c r="E6" s="34">
        <v>21</v>
      </c>
      <c r="F6" s="34">
        <v>22</v>
      </c>
      <c r="G6" s="34">
        <v>23</v>
      </c>
      <c r="H6" s="34">
        <v>24</v>
      </c>
      <c r="I6" s="34"/>
      <c r="J6" s="262"/>
      <c r="K6" s="272"/>
      <c r="L6" s="270">
        <v>18</v>
      </c>
      <c r="M6" s="255"/>
      <c r="N6" s="255"/>
    </row>
    <row r="7" spans="1:14" ht="13.8" x14ac:dyDescent="0.25">
      <c r="A7" s="107"/>
      <c r="B7" s="34">
        <v>25</v>
      </c>
      <c r="C7" s="34">
        <v>26</v>
      </c>
      <c r="D7" s="34">
        <v>27</v>
      </c>
      <c r="E7" s="34">
        <v>28</v>
      </c>
      <c r="F7" s="34">
        <v>29</v>
      </c>
      <c r="G7" s="34">
        <v>30</v>
      </c>
      <c r="H7" s="34">
        <v>31</v>
      </c>
      <c r="I7" s="34"/>
      <c r="J7" s="262"/>
      <c r="K7" s="272"/>
      <c r="L7" s="270">
        <v>25</v>
      </c>
      <c r="M7" s="255"/>
      <c r="N7" s="255"/>
    </row>
    <row r="8" spans="1:14" ht="13.8" x14ac:dyDescent="0.25">
      <c r="A8" s="107"/>
      <c r="B8" s="34"/>
      <c r="C8" s="34"/>
      <c r="D8" s="34"/>
      <c r="E8" s="34"/>
      <c r="F8" s="34"/>
      <c r="G8" s="34"/>
      <c r="H8" s="34"/>
      <c r="I8" s="34"/>
      <c r="J8" s="263"/>
      <c r="K8" s="273"/>
      <c r="L8" s="270"/>
      <c r="M8" s="255"/>
      <c r="N8" s="255"/>
    </row>
    <row r="9" spans="1:14" ht="13.8" x14ac:dyDescent="0.25">
      <c r="A9" s="108"/>
      <c r="B9" s="35"/>
      <c r="C9" s="35"/>
      <c r="D9" s="35"/>
      <c r="E9" s="35"/>
      <c r="F9" s="35"/>
      <c r="G9" s="35"/>
      <c r="H9" s="35"/>
      <c r="I9" s="35"/>
      <c r="J9" s="264"/>
      <c r="K9" s="269" t="s">
        <v>12</v>
      </c>
      <c r="L9" s="270">
        <v>5</v>
      </c>
      <c r="M9" s="255"/>
      <c r="N9" s="255"/>
    </row>
    <row r="10" spans="1:14" x14ac:dyDescent="0.25">
      <c r="A10" s="102" t="s">
        <v>10</v>
      </c>
      <c r="B10" s="103"/>
      <c r="C10" s="103"/>
      <c r="D10" s="103"/>
      <c r="E10" s="103"/>
      <c r="F10" s="103"/>
      <c r="G10" s="103"/>
      <c r="H10" s="103"/>
      <c r="I10" s="103"/>
      <c r="J10" s="103"/>
      <c r="K10" s="269"/>
      <c r="L10" s="270">
        <v>12</v>
      </c>
      <c r="M10" s="255"/>
      <c r="N10" s="255"/>
    </row>
    <row r="11" spans="1:14" x14ac:dyDescent="0.25">
      <c r="A11" s="104"/>
      <c r="B11" s="105"/>
      <c r="C11" s="105"/>
      <c r="D11" s="105"/>
      <c r="E11" s="105"/>
      <c r="F11" s="105"/>
      <c r="G11" s="105"/>
      <c r="H11" s="105"/>
      <c r="I11" s="105"/>
      <c r="J11" s="105"/>
      <c r="K11" s="269"/>
      <c r="L11" s="270">
        <v>19</v>
      </c>
      <c r="M11" s="255"/>
      <c r="N11" s="255"/>
    </row>
    <row r="12" spans="1:14" x14ac:dyDescent="0.25">
      <c r="A12" s="36" t="s">
        <v>11</v>
      </c>
      <c r="B12" s="120" t="s">
        <v>12</v>
      </c>
      <c r="C12" s="121"/>
      <c r="D12" s="120" t="s">
        <v>14</v>
      </c>
      <c r="E12" s="121"/>
      <c r="F12" s="120" t="s">
        <v>14</v>
      </c>
      <c r="G12" s="121"/>
      <c r="H12" s="120" t="s">
        <v>68</v>
      </c>
      <c r="I12" s="122"/>
      <c r="J12" s="122"/>
      <c r="K12" s="272"/>
      <c r="L12" s="270">
        <v>26</v>
      </c>
      <c r="M12" s="255"/>
      <c r="N12" s="255"/>
    </row>
    <row r="13" spans="1:14" x14ac:dyDescent="0.25">
      <c r="A13" s="37"/>
      <c r="B13" s="96"/>
      <c r="C13" s="98"/>
      <c r="D13" s="96"/>
      <c r="E13" s="98"/>
      <c r="F13" s="96"/>
      <c r="G13" s="98"/>
      <c r="H13" s="96"/>
      <c r="I13" s="97"/>
      <c r="J13" s="97"/>
      <c r="K13" s="272"/>
      <c r="L13" s="270"/>
      <c r="M13" s="255"/>
      <c r="N13" s="255"/>
    </row>
    <row r="14" spans="1:14" x14ac:dyDescent="0.25">
      <c r="A14" s="38"/>
      <c r="B14" s="93"/>
      <c r="C14" s="95"/>
      <c r="D14" s="93"/>
      <c r="E14" s="95"/>
      <c r="F14" s="93"/>
      <c r="G14" s="95"/>
      <c r="H14" s="93"/>
      <c r="I14" s="94"/>
      <c r="J14" s="94"/>
      <c r="K14" s="273"/>
      <c r="L14" s="270"/>
      <c r="M14" s="255"/>
      <c r="N14" s="255"/>
    </row>
    <row r="15" spans="1:14" x14ac:dyDescent="0.25">
      <c r="A15" s="37"/>
      <c r="B15" s="99"/>
      <c r="C15" s="101"/>
      <c r="D15" s="99"/>
      <c r="E15" s="101"/>
      <c r="F15" s="99"/>
      <c r="G15" s="101"/>
      <c r="H15" s="99"/>
      <c r="I15" s="100"/>
      <c r="J15" s="100"/>
      <c r="K15" s="274" t="s">
        <v>13</v>
      </c>
      <c r="L15" s="270"/>
      <c r="M15" s="255"/>
      <c r="N15" s="255"/>
    </row>
    <row r="16" spans="1:14" x14ac:dyDescent="0.25">
      <c r="A16" s="38"/>
      <c r="B16" s="93"/>
      <c r="C16" s="95"/>
      <c r="D16" s="93"/>
      <c r="E16" s="95"/>
      <c r="F16" s="93"/>
      <c r="G16" s="95"/>
      <c r="H16" s="93"/>
      <c r="I16" s="94"/>
      <c r="J16" s="94"/>
      <c r="K16" s="274"/>
      <c r="L16" s="270">
        <v>6</v>
      </c>
      <c r="M16" s="255"/>
      <c r="N16" s="255"/>
    </row>
    <row r="17" spans="1:14" x14ac:dyDescent="0.25">
      <c r="A17" s="39"/>
      <c r="B17" s="99"/>
      <c r="C17" s="101"/>
      <c r="D17" s="99"/>
      <c r="E17" s="101"/>
      <c r="F17" s="99"/>
      <c r="G17" s="101"/>
      <c r="H17" s="99"/>
      <c r="I17" s="100"/>
      <c r="J17" s="100"/>
      <c r="K17" s="274"/>
      <c r="L17" s="270">
        <v>13</v>
      </c>
      <c r="M17" s="255"/>
      <c r="N17" s="255"/>
    </row>
    <row r="18" spans="1:14" x14ac:dyDescent="0.25">
      <c r="A18" s="38"/>
      <c r="B18" s="93"/>
      <c r="C18" s="95"/>
      <c r="D18" s="93"/>
      <c r="E18" s="95"/>
      <c r="F18" s="93"/>
      <c r="G18" s="95"/>
      <c r="H18" s="93"/>
      <c r="I18" s="94"/>
      <c r="J18" s="94"/>
      <c r="K18" s="272"/>
      <c r="L18" s="270">
        <v>20</v>
      </c>
      <c r="M18" s="255"/>
      <c r="N18" s="255"/>
    </row>
    <row r="19" spans="1:14" x14ac:dyDescent="0.25">
      <c r="A19" s="37"/>
      <c r="B19" s="99"/>
      <c r="C19" s="101"/>
      <c r="D19" s="99"/>
      <c r="E19" s="101"/>
      <c r="F19" s="99"/>
      <c r="G19" s="101"/>
      <c r="H19" s="99"/>
      <c r="I19" s="100"/>
      <c r="J19" s="100"/>
      <c r="K19" s="272"/>
      <c r="L19" s="270">
        <v>27</v>
      </c>
      <c r="M19" s="255"/>
      <c r="N19" s="255"/>
    </row>
    <row r="20" spans="1:14" x14ac:dyDescent="0.25">
      <c r="A20" s="38"/>
      <c r="B20" s="93"/>
      <c r="C20" s="95"/>
      <c r="D20" s="93"/>
      <c r="E20" s="95"/>
      <c r="F20" s="93"/>
      <c r="G20" s="95"/>
      <c r="H20" s="93"/>
      <c r="I20" s="94"/>
      <c r="J20" s="94"/>
      <c r="K20" s="273"/>
      <c r="L20" s="270"/>
      <c r="M20" s="255"/>
      <c r="N20" s="255"/>
    </row>
    <row r="21" spans="1:14" x14ac:dyDescent="0.25">
      <c r="A21" s="37"/>
      <c r="B21" s="99"/>
      <c r="C21" s="101"/>
      <c r="D21" s="99"/>
      <c r="E21" s="101"/>
      <c r="F21" s="99"/>
      <c r="G21" s="101"/>
      <c r="H21" s="99"/>
      <c r="I21" s="100"/>
      <c r="J21" s="100"/>
      <c r="K21" s="274" t="s">
        <v>14</v>
      </c>
      <c r="L21" s="270"/>
      <c r="M21" s="256"/>
      <c r="N21" s="256"/>
    </row>
    <row r="22" spans="1:14" x14ac:dyDescent="0.25">
      <c r="A22" s="38"/>
      <c r="B22" s="93"/>
      <c r="C22" s="95"/>
      <c r="D22" s="93"/>
      <c r="E22" s="95"/>
      <c r="F22" s="93"/>
      <c r="G22" s="95"/>
      <c r="H22" s="93"/>
      <c r="I22" s="94"/>
      <c r="J22" s="94"/>
      <c r="K22" s="274"/>
      <c r="L22" s="270">
        <v>7</v>
      </c>
      <c r="M22" s="255"/>
      <c r="N22" s="255"/>
    </row>
    <row r="23" spans="1:14" x14ac:dyDescent="0.25">
      <c r="A23" s="37"/>
      <c r="B23" s="99"/>
      <c r="C23" s="101"/>
      <c r="D23" s="99"/>
      <c r="E23" s="101"/>
      <c r="F23" s="99"/>
      <c r="G23" s="101"/>
      <c r="H23" s="99"/>
      <c r="I23" s="100"/>
      <c r="J23" s="100"/>
      <c r="K23" s="274"/>
      <c r="L23" s="270">
        <v>14</v>
      </c>
      <c r="M23" s="255"/>
      <c r="N23" s="255"/>
    </row>
    <row r="24" spans="1:14" x14ac:dyDescent="0.25">
      <c r="A24" s="38"/>
      <c r="B24" s="93"/>
      <c r="C24" s="95"/>
      <c r="D24" s="93"/>
      <c r="E24" s="95"/>
      <c r="F24" s="93"/>
      <c r="G24" s="95"/>
      <c r="H24" s="93"/>
      <c r="I24" s="94"/>
      <c r="J24" s="94"/>
      <c r="K24" s="274"/>
      <c r="L24" s="270">
        <v>21</v>
      </c>
      <c r="M24" s="255"/>
      <c r="N24" s="255"/>
    </row>
    <row r="25" spans="1:14" x14ac:dyDescent="0.25">
      <c r="A25" s="37"/>
      <c r="B25" s="99"/>
      <c r="C25" s="101"/>
      <c r="D25" s="99"/>
      <c r="E25" s="101"/>
      <c r="F25" s="99"/>
      <c r="G25" s="101"/>
      <c r="H25" s="99"/>
      <c r="I25" s="100"/>
      <c r="J25" s="100"/>
      <c r="K25" s="272"/>
      <c r="L25" s="270">
        <v>28</v>
      </c>
      <c r="M25" s="255"/>
      <c r="N25" s="255"/>
    </row>
    <row r="26" spans="1:14" x14ac:dyDescent="0.25">
      <c r="A26" s="38"/>
      <c r="B26" s="93"/>
      <c r="C26" s="95"/>
      <c r="D26" s="93"/>
      <c r="E26" s="95"/>
      <c r="F26" s="93"/>
      <c r="G26" s="95"/>
      <c r="H26" s="93"/>
      <c r="I26" s="94"/>
      <c r="J26" s="94"/>
      <c r="K26" s="273"/>
      <c r="L26" s="270"/>
      <c r="M26" s="255"/>
      <c r="N26" s="255"/>
    </row>
    <row r="27" spans="1:14" x14ac:dyDescent="0.25">
      <c r="A27" s="37"/>
      <c r="B27" s="99"/>
      <c r="C27" s="101"/>
      <c r="D27" s="99"/>
      <c r="E27" s="101"/>
      <c r="F27" s="99"/>
      <c r="G27" s="101"/>
      <c r="H27" s="99"/>
      <c r="I27" s="100"/>
      <c r="J27" s="100"/>
      <c r="K27" s="269" t="s">
        <v>15</v>
      </c>
      <c r="L27" s="270"/>
      <c r="M27" s="255"/>
      <c r="N27" s="255"/>
    </row>
    <row r="28" spans="1:14" x14ac:dyDescent="0.25">
      <c r="A28" s="38"/>
      <c r="B28" s="93"/>
      <c r="C28" s="95"/>
      <c r="D28" s="93"/>
      <c r="E28" s="95"/>
      <c r="F28" s="93"/>
      <c r="G28" s="95"/>
      <c r="H28" s="93"/>
      <c r="I28" s="94"/>
      <c r="J28" s="94"/>
      <c r="K28" s="269"/>
      <c r="L28" s="270">
        <v>1</v>
      </c>
      <c r="M28" s="255"/>
      <c r="N28" s="255"/>
    </row>
    <row r="29" spans="1:14" x14ac:dyDescent="0.25">
      <c r="A29" s="37"/>
      <c r="B29" s="115"/>
      <c r="C29" s="116"/>
      <c r="D29" s="115"/>
      <c r="E29" s="116"/>
      <c r="F29" s="115"/>
      <c r="G29" s="116"/>
      <c r="H29" s="115"/>
      <c r="I29" s="117"/>
      <c r="J29" s="117"/>
      <c r="K29" s="269"/>
      <c r="L29" s="270">
        <v>8</v>
      </c>
      <c r="M29" s="256"/>
      <c r="N29" s="255"/>
    </row>
    <row r="30" spans="1:14" x14ac:dyDescent="0.25">
      <c r="A30" s="109"/>
      <c r="B30" s="110"/>
      <c r="C30" s="110"/>
      <c r="D30" s="110"/>
      <c r="E30" s="110"/>
      <c r="F30" s="110"/>
      <c r="G30" s="110"/>
      <c r="H30" s="110"/>
      <c r="I30" s="110"/>
      <c r="J30" s="110"/>
      <c r="K30" s="275"/>
      <c r="L30" s="270">
        <v>15</v>
      </c>
      <c r="M30" s="255"/>
      <c r="N30" s="255"/>
    </row>
    <row r="31" spans="1:14" x14ac:dyDescent="0.25">
      <c r="A31" s="111"/>
      <c r="B31" s="112"/>
      <c r="C31" s="112"/>
      <c r="D31" s="112"/>
      <c r="E31" s="112"/>
      <c r="F31" s="112"/>
      <c r="G31" s="112"/>
      <c r="H31" s="112"/>
      <c r="I31" s="112"/>
      <c r="J31" s="265"/>
      <c r="K31" s="275"/>
      <c r="L31" s="270">
        <v>22</v>
      </c>
      <c r="M31" s="255"/>
      <c r="N31" s="255"/>
    </row>
    <row r="32" spans="1:14" ht="15" x14ac:dyDescent="0.25">
      <c r="A32" s="113"/>
      <c r="B32" s="114"/>
      <c r="C32" s="114"/>
      <c r="D32" s="114"/>
      <c r="E32" s="114"/>
      <c r="F32" s="114"/>
      <c r="G32" s="114"/>
      <c r="H32" s="114"/>
      <c r="I32" s="114"/>
      <c r="J32" s="114"/>
      <c r="K32" s="276"/>
      <c r="L32" s="277">
        <v>29</v>
      </c>
      <c r="M32" s="278"/>
      <c r="N32" s="278"/>
    </row>
    <row r="33" spans="1:14" x14ac:dyDescent="0.2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69" t="s">
        <v>24</v>
      </c>
      <c r="L33" s="279"/>
      <c r="M33" s="254"/>
      <c r="N33" s="254"/>
    </row>
    <row r="34" spans="1:14" x14ac:dyDescent="0.2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69"/>
      <c r="L34" s="270">
        <v>3</v>
      </c>
      <c r="M34" s="254"/>
      <c r="N34" s="254"/>
    </row>
    <row r="35" spans="1:14" x14ac:dyDescent="0.2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69"/>
      <c r="L35" s="270">
        <v>10</v>
      </c>
      <c r="M35" s="255"/>
      <c r="N35" s="255"/>
    </row>
    <row r="36" spans="1:14" x14ac:dyDescent="0.2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9"/>
      <c r="L36" s="270">
        <v>17</v>
      </c>
      <c r="M36" s="255"/>
      <c r="N36" s="255"/>
    </row>
    <row r="37" spans="1:14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9"/>
      <c r="L37" s="270">
        <v>23</v>
      </c>
      <c r="M37" s="255"/>
      <c r="N37" s="255"/>
    </row>
    <row r="38" spans="1:14" x14ac:dyDescent="0.2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9"/>
      <c r="L38" s="279">
        <v>30</v>
      </c>
      <c r="M38" s="254"/>
      <c r="N38" s="254"/>
    </row>
    <row r="39" spans="1:14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80"/>
      <c r="L39" s="279"/>
      <c r="M39" s="254"/>
      <c r="N39" s="254"/>
    </row>
    <row r="40" spans="1:14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69" t="s">
        <v>25</v>
      </c>
      <c r="L40" s="270">
        <v>6</v>
      </c>
      <c r="M40" s="257"/>
      <c r="N40" s="254"/>
    </row>
    <row r="41" spans="1:14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69"/>
      <c r="L41" s="270">
        <v>13</v>
      </c>
      <c r="M41" s="255"/>
      <c r="N41" s="255"/>
    </row>
    <row r="42" spans="1:14" x14ac:dyDescent="0.2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69"/>
      <c r="L42" s="270">
        <v>20</v>
      </c>
      <c r="M42" s="271"/>
      <c r="N42" s="271"/>
    </row>
    <row r="43" spans="1:14" x14ac:dyDescent="0.2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9"/>
      <c r="L43" s="270">
        <v>24</v>
      </c>
      <c r="M43" s="271"/>
      <c r="N43" s="271"/>
    </row>
    <row r="44" spans="1:14" x14ac:dyDescent="0.25">
      <c r="K44" s="281"/>
      <c r="L44" s="282">
        <v>31</v>
      </c>
      <c r="M44" s="281"/>
      <c r="N44" s="281"/>
    </row>
  </sheetData>
  <mergeCells count="119">
    <mergeCell ref="M36:N36"/>
    <mergeCell ref="M37:N37"/>
    <mergeCell ref="K40:K42"/>
    <mergeCell ref="M41:N41"/>
    <mergeCell ref="M42:N42"/>
    <mergeCell ref="M43:N43"/>
    <mergeCell ref="A30:J32"/>
    <mergeCell ref="M30:N30"/>
    <mergeCell ref="M31:N31"/>
    <mergeCell ref="M32:N32"/>
    <mergeCell ref="K33:K35"/>
    <mergeCell ref="M35:N35"/>
    <mergeCell ref="M28:N28"/>
    <mergeCell ref="B29:C29"/>
    <mergeCell ref="D29:E29"/>
    <mergeCell ref="F29:G29"/>
    <mergeCell ref="H29:J29"/>
    <mergeCell ref="M29:N29"/>
    <mergeCell ref="B27:C27"/>
    <mergeCell ref="D27:E27"/>
    <mergeCell ref="F27:G27"/>
    <mergeCell ref="H27:J27"/>
    <mergeCell ref="K27:K29"/>
    <mergeCell ref="M27:N27"/>
    <mergeCell ref="B28:C28"/>
    <mergeCell ref="D28:E28"/>
    <mergeCell ref="F28:G28"/>
    <mergeCell ref="H28:J28"/>
    <mergeCell ref="H24:J24"/>
    <mergeCell ref="M24:N24"/>
    <mergeCell ref="B25:C25"/>
    <mergeCell ref="D25:E25"/>
    <mergeCell ref="F25:G25"/>
    <mergeCell ref="H25:J25"/>
    <mergeCell ref="M25:N25"/>
    <mergeCell ref="B26:C26"/>
    <mergeCell ref="D26:E26"/>
    <mergeCell ref="F26:G26"/>
    <mergeCell ref="H26:J26"/>
    <mergeCell ref="M26:N26"/>
    <mergeCell ref="M21:N21"/>
    <mergeCell ref="B22:C22"/>
    <mergeCell ref="D22:E22"/>
    <mergeCell ref="F22:G22"/>
    <mergeCell ref="H22:J22"/>
    <mergeCell ref="M22:N22"/>
    <mergeCell ref="B20:C20"/>
    <mergeCell ref="D20:E20"/>
    <mergeCell ref="F20:G20"/>
    <mergeCell ref="H20:J20"/>
    <mergeCell ref="M20:N20"/>
    <mergeCell ref="B21:C21"/>
    <mergeCell ref="D21:E21"/>
    <mergeCell ref="F21:G21"/>
    <mergeCell ref="H21:J21"/>
    <mergeCell ref="K21:K24"/>
    <mergeCell ref="B23:C23"/>
    <mergeCell ref="D23:E23"/>
    <mergeCell ref="F23:G23"/>
    <mergeCell ref="H23:J23"/>
    <mergeCell ref="M23:N23"/>
    <mergeCell ref="B24:C24"/>
    <mergeCell ref="D24:E24"/>
    <mergeCell ref="F24:G24"/>
    <mergeCell ref="B18:C18"/>
    <mergeCell ref="D18:E18"/>
    <mergeCell ref="F18:G18"/>
    <mergeCell ref="H18:J18"/>
    <mergeCell ref="M18:N18"/>
    <mergeCell ref="B19:C19"/>
    <mergeCell ref="D19:E19"/>
    <mergeCell ref="F19:G19"/>
    <mergeCell ref="H19:J19"/>
    <mergeCell ref="M19:N19"/>
    <mergeCell ref="M16:N16"/>
    <mergeCell ref="B17:C17"/>
    <mergeCell ref="D17:E17"/>
    <mergeCell ref="F17:G17"/>
    <mergeCell ref="H17:J17"/>
    <mergeCell ref="M17:N17"/>
    <mergeCell ref="B15:C15"/>
    <mergeCell ref="D15:E15"/>
    <mergeCell ref="F15:G15"/>
    <mergeCell ref="H15:J15"/>
    <mergeCell ref="K15:K17"/>
    <mergeCell ref="M15:N15"/>
    <mergeCell ref="B16:C16"/>
    <mergeCell ref="D16:E16"/>
    <mergeCell ref="F16:G16"/>
    <mergeCell ref="H16:J16"/>
    <mergeCell ref="B13:C13"/>
    <mergeCell ref="D13:E13"/>
    <mergeCell ref="F13:G13"/>
    <mergeCell ref="H13:J13"/>
    <mergeCell ref="M13:N13"/>
    <mergeCell ref="B14:C14"/>
    <mergeCell ref="D14:E14"/>
    <mergeCell ref="F14:G14"/>
    <mergeCell ref="H14:J14"/>
    <mergeCell ref="M14:N14"/>
    <mergeCell ref="M9:N9"/>
    <mergeCell ref="A10:J11"/>
    <mergeCell ref="M10:N10"/>
    <mergeCell ref="M11:N11"/>
    <mergeCell ref="B12:C12"/>
    <mergeCell ref="D12:E12"/>
    <mergeCell ref="F12:G12"/>
    <mergeCell ref="H12:J12"/>
    <mergeCell ref="M12:N12"/>
    <mergeCell ref="A1:A9"/>
    <mergeCell ref="K1:M2"/>
    <mergeCell ref="K3:K5"/>
    <mergeCell ref="M3:N3"/>
    <mergeCell ref="M4:N4"/>
    <mergeCell ref="M5:N5"/>
    <mergeCell ref="M6:N6"/>
    <mergeCell ref="M7:N7"/>
    <mergeCell ref="M8:N8"/>
    <mergeCell ref="K9:K11"/>
  </mergeCells>
  <conditionalFormatting sqref="B3:G3">
    <cfRule type="expression" dxfId="9" priority="5" stopIfTrue="1">
      <formula>DAY(B3)&gt;8</formula>
    </cfRule>
  </conditionalFormatting>
  <conditionalFormatting sqref="B7:I9">
    <cfRule type="expression" dxfId="8" priority="4" stopIfTrue="1">
      <formula>AND(DAY(B7)&gt;=1,DAY(B7)&lt;=15)</formula>
    </cfRule>
  </conditionalFormatting>
  <conditionalFormatting sqref="B3:I8">
    <cfRule type="expression" dxfId="7" priority="6">
      <formula>VLOOKUP(DAY(B3),DíasDeTareas,1,FALSE)=DAY(B3)</formula>
    </cfRule>
  </conditionalFormatting>
  <conditionalFormatting sqref="A13:G29">
    <cfRule type="expression" dxfId="6" priority="3">
      <formula>A13&lt;&gt;""</formula>
    </cfRule>
  </conditionalFormatting>
  <conditionalFormatting sqref="A30">
    <cfRule type="expression" dxfId="5" priority="2">
      <formula>A30&lt;&gt;""</formula>
    </cfRule>
  </conditionalFormatting>
  <conditionalFormatting sqref="H13:J29">
    <cfRule type="expression" dxfId="4" priority="1">
      <formula>H13&lt;&gt;""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8" zoomScaleNormal="100" zoomScalePageLayoutView="84" workbookViewId="0">
      <selection activeCell="B14" sqref="B14:J32"/>
    </sheetView>
  </sheetViews>
  <sheetFormatPr baseColWidth="10" defaultColWidth="8.6640625" defaultRowHeight="16.5" customHeight="1" x14ac:dyDescent="0.25"/>
  <cols>
    <col min="1" max="1" width="2.33203125" style="1" customWidth="1"/>
    <col min="2" max="2" width="12.6640625" style="1" customWidth="1"/>
    <col min="3" max="10" width="6.6640625" style="1" customWidth="1"/>
    <col min="11" max="11" width="7.33203125" style="1" customWidth="1"/>
    <col min="12" max="12" width="3.88671875" customWidth="1"/>
    <col min="13" max="13" width="51.44140625" style="1" customWidth="1"/>
    <col min="14" max="14" width="10.6640625" style="1" customWidth="1"/>
    <col min="15" max="15" width="2.33203125" customWidth="1"/>
    <col min="16" max="22" width="8.88671875" customWidth="1"/>
    <col min="42" max="16384" width="8.6640625" style="1"/>
  </cols>
  <sheetData>
    <row r="1" spans="1:14" ht="11.25" customHeight="1" x14ac:dyDescent="0.25"/>
    <row r="2" spans="1:14" ht="18" customHeight="1" x14ac:dyDescent="0.25">
      <c r="A2" s="4"/>
      <c r="B2" s="42" t="s">
        <v>23</v>
      </c>
      <c r="C2" s="21"/>
      <c r="D2" s="21"/>
      <c r="E2" s="21"/>
      <c r="F2" s="21"/>
      <c r="G2" s="21"/>
      <c r="H2" s="21"/>
      <c r="I2" s="21"/>
      <c r="J2" s="22"/>
      <c r="K2" s="82" t="s">
        <v>3</v>
      </c>
      <c r="L2" s="83">
        <v>2013</v>
      </c>
      <c r="M2" s="83"/>
      <c r="N2" s="25"/>
    </row>
    <row r="3" spans="1:14" ht="21" customHeight="1" x14ac:dyDescent="0.25">
      <c r="A3" s="4"/>
      <c r="B3" s="4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84"/>
      <c r="L3" s="85"/>
      <c r="M3" s="85"/>
      <c r="N3" s="26"/>
    </row>
    <row r="4" spans="1:14" ht="18" customHeight="1" x14ac:dyDescent="0.25">
      <c r="A4" s="4"/>
      <c r="B4" s="43"/>
      <c r="C4" s="10">
        <f>IF(DAY(FebDom1)=1,FebDom1-6,FebDom1+1)</f>
        <v>43129</v>
      </c>
      <c r="D4" s="10">
        <f>IF(DAY(FebDom1)=1,FebDom1-5,FebDom1+2)</f>
        <v>43130</v>
      </c>
      <c r="E4" s="10">
        <f>IF(DAY(FebDom1)=1,FebDom1-4,FebDom1+3)</f>
        <v>43131</v>
      </c>
      <c r="F4" s="10">
        <f>IF(DAY(FebDom1)=1,FebDom1-3,FebDom1+4)</f>
        <v>43132</v>
      </c>
      <c r="G4" s="10">
        <f>IF(DAY(FebDom1)=1,FebDom1-2,FebDom1+5)</f>
        <v>43133</v>
      </c>
      <c r="H4" s="10">
        <f>IF(DAY(FebDom1)=1,FebDom1-1,FebDom1+6)</f>
        <v>43134</v>
      </c>
      <c r="I4" s="10">
        <f>IF(DAY(FebDom1)=1,FebDom1,FebDom1+7)</f>
        <v>43135</v>
      </c>
      <c r="J4" s="5"/>
      <c r="K4" s="86" t="s">
        <v>11</v>
      </c>
      <c r="L4" s="16"/>
      <c r="M4" s="87"/>
      <c r="N4" s="88"/>
    </row>
    <row r="5" spans="1:14" ht="18" customHeight="1" x14ac:dyDescent="0.25">
      <c r="A5" s="4"/>
      <c r="B5" s="43"/>
      <c r="C5" s="10">
        <f>IF(DAY(FebDom1)=1,FebDom1+1,FebDom1+8)</f>
        <v>43136</v>
      </c>
      <c r="D5" s="10">
        <f>IF(DAY(FebDom1)=1,FebDom1+2,FebDom1+9)</f>
        <v>43137</v>
      </c>
      <c r="E5" s="10">
        <f>IF(DAY(FebDom1)=1,FebDom1+3,FebDom1+10)</f>
        <v>43138</v>
      </c>
      <c r="F5" s="10">
        <f>IF(DAY(FebDom1)=1,FebDom1+4,FebDom1+11)</f>
        <v>43139</v>
      </c>
      <c r="G5" s="10">
        <f>IF(DAY(FebDom1)=1,FebDom1+5,FebDom1+12)</f>
        <v>43140</v>
      </c>
      <c r="H5" s="10">
        <f>IF(DAY(FebDom1)=1,FebDom1+6,FebDom1+13)</f>
        <v>43141</v>
      </c>
      <c r="I5" s="10">
        <f>IF(DAY(FebDom1)=1,FebDom1+7,FebDom1+14)</f>
        <v>43142</v>
      </c>
      <c r="J5" s="5"/>
      <c r="K5" s="78"/>
      <c r="L5" s="17"/>
      <c r="M5" s="48"/>
      <c r="N5" s="49"/>
    </row>
    <row r="6" spans="1:14" ht="18" customHeight="1" x14ac:dyDescent="0.25">
      <c r="A6" s="4"/>
      <c r="B6" s="43"/>
      <c r="C6" s="10">
        <f>IF(DAY(FebDom1)=1,FebDom1+8,FebDom1+15)</f>
        <v>43143</v>
      </c>
      <c r="D6" s="10">
        <f>IF(DAY(FebDom1)=1,FebDom1+9,FebDom1+16)</f>
        <v>43144</v>
      </c>
      <c r="E6" s="10">
        <f>IF(DAY(FebDom1)=1,FebDom1+10,FebDom1+17)</f>
        <v>43145</v>
      </c>
      <c r="F6" s="10">
        <f>IF(DAY(FebDom1)=1,FebDom1+11,FebDom1+18)</f>
        <v>43146</v>
      </c>
      <c r="G6" s="10">
        <f>IF(DAY(FebDom1)=1,FebDom1+12,FebDom1+19)</f>
        <v>43147</v>
      </c>
      <c r="H6" s="10">
        <f>IF(DAY(FebDom1)=1,FebDom1+13,FebDom1+20)</f>
        <v>43148</v>
      </c>
      <c r="I6" s="10">
        <f>IF(DAY(FebDom1)=1,FebDom1+14,FebDom1+21)</f>
        <v>43149</v>
      </c>
      <c r="J6" s="5"/>
      <c r="K6" s="78"/>
      <c r="L6" s="17"/>
      <c r="M6" s="48"/>
      <c r="N6" s="49"/>
    </row>
    <row r="7" spans="1:14" ht="18" customHeight="1" x14ac:dyDescent="0.25">
      <c r="A7" s="4"/>
      <c r="B7" s="43"/>
      <c r="C7" s="10">
        <f>IF(DAY(FebDom1)=1,FebDom1+15,FebDom1+22)</f>
        <v>43150</v>
      </c>
      <c r="D7" s="10">
        <f>IF(DAY(FebDom1)=1,FebDom1+16,FebDom1+23)</f>
        <v>43151</v>
      </c>
      <c r="E7" s="10">
        <f>IF(DAY(FebDom1)=1,FebDom1+17,FebDom1+24)</f>
        <v>43152</v>
      </c>
      <c r="F7" s="10">
        <f>IF(DAY(FebDom1)=1,FebDom1+18,FebDom1+25)</f>
        <v>43153</v>
      </c>
      <c r="G7" s="10">
        <f>IF(DAY(FebDom1)=1,FebDom1+19,FebDom1+26)</f>
        <v>43154</v>
      </c>
      <c r="H7" s="10">
        <f>IF(DAY(FebDom1)=1,FebDom1+20,FebDom1+27)</f>
        <v>43155</v>
      </c>
      <c r="I7" s="10">
        <f>IF(DAY(FebDom1)=1,FebDom1+21,FebDom1+28)</f>
        <v>43156</v>
      </c>
      <c r="J7" s="5"/>
      <c r="K7" s="11"/>
      <c r="L7" s="17"/>
      <c r="M7" s="48"/>
      <c r="N7" s="49"/>
    </row>
    <row r="8" spans="1:14" ht="18.75" customHeight="1" x14ac:dyDescent="0.25">
      <c r="A8" s="4"/>
      <c r="B8" s="43"/>
      <c r="C8" s="10">
        <f>IF(DAY(FebDom1)=1,FebDom1+22,FebDom1+29)</f>
        <v>43157</v>
      </c>
      <c r="D8" s="10">
        <f>IF(DAY(FebDom1)=1,FebDom1+23,FebDom1+30)</f>
        <v>43158</v>
      </c>
      <c r="E8" s="10">
        <f>IF(DAY(FebDom1)=1,FebDom1+24,FebDom1+31)</f>
        <v>43159</v>
      </c>
      <c r="F8" s="10">
        <f>IF(DAY(FebDom1)=1,FebDom1+25,FebDom1+32)</f>
        <v>43160</v>
      </c>
      <c r="G8" s="10">
        <f>IF(DAY(FebDom1)=1,FebDom1+26,FebDom1+33)</f>
        <v>43161</v>
      </c>
      <c r="H8" s="10">
        <f>IF(DAY(FebDom1)=1,FebDom1+27,FebDom1+34)</f>
        <v>43162</v>
      </c>
      <c r="I8" s="10">
        <f>IF(DAY(FebDom1)=1,FebDom1+28,FebDom1+35)</f>
        <v>43163</v>
      </c>
      <c r="J8" s="5"/>
      <c r="K8" s="11"/>
      <c r="L8" s="17"/>
      <c r="M8" s="48"/>
      <c r="N8" s="49"/>
    </row>
    <row r="9" spans="1:14" ht="18" customHeight="1" x14ac:dyDescent="0.25">
      <c r="A9" s="4"/>
      <c r="B9" s="43"/>
      <c r="C9" s="10">
        <f>IF(DAY(FebDom1)=1,FebDom1+29,FebDom1+36)</f>
        <v>43164</v>
      </c>
      <c r="D9" s="10">
        <f>IF(DAY(FebDom1)=1,FebDom1+30,FebDom1+37)</f>
        <v>43165</v>
      </c>
      <c r="E9" s="10">
        <f>IF(DAY(FebDom1)=1,FebDom1+31,FebDom1+38)</f>
        <v>43166</v>
      </c>
      <c r="F9" s="10">
        <f>IF(DAY(FebDom1)=1,FebDom1+32,FebDom1+39)</f>
        <v>43167</v>
      </c>
      <c r="G9" s="10">
        <f>IF(DAY(FebDom1)=1,FebDom1+33,FebDom1+40)</f>
        <v>43168</v>
      </c>
      <c r="H9" s="10">
        <f>IF(DAY(FebDom1)=1,FebDom1+34,FebDom1+41)</f>
        <v>43169</v>
      </c>
      <c r="I9" s="10">
        <f>IF(DAY(FebDom1)=1,FebDom1+35,FebDom1+42)</f>
        <v>43170</v>
      </c>
      <c r="J9" s="5"/>
      <c r="K9" s="12"/>
      <c r="L9" s="18"/>
      <c r="M9" s="52"/>
      <c r="N9" s="53"/>
    </row>
    <row r="10" spans="1:14" ht="18" customHeight="1" x14ac:dyDescent="0.25">
      <c r="A10" s="4"/>
      <c r="B10" s="44"/>
      <c r="C10" s="23"/>
      <c r="D10" s="23"/>
      <c r="E10" s="23"/>
      <c r="F10" s="23"/>
      <c r="G10" s="23"/>
      <c r="H10" s="23"/>
      <c r="I10" s="23"/>
      <c r="J10" s="24"/>
      <c r="K10" s="77" t="s">
        <v>12</v>
      </c>
      <c r="L10" s="16"/>
      <c r="M10" s="54"/>
      <c r="N10" s="55"/>
    </row>
    <row r="11" spans="1:14" ht="18" customHeight="1" x14ac:dyDescent="0.25">
      <c r="A11" s="4"/>
      <c r="B11" s="45" t="s">
        <v>10</v>
      </c>
      <c r="C11" s="46"/>
      <c r="D11" s="46"/>
      <c r="E11" s="46"/>
      <c r="F11" s="46"/>
      <c r="G11" s="46"/>
      <c r="H11" s="46"/>
      <c r="I11" s="46"/>
      <c r="J11" s="47"/>
      <c r="K11" s="78"/>
      <c r="L11" s="17"/>
      <c r="M11" s="48"/>
      <c r="N11" s="49"/>
    </row>
    <row r="12" spans="1:14" ht="18" customHeight="1" x14ac:dyDescent="0.25">
      <c r="A12" s="4"/>
      <c r="B12" s="45"/>
      <c r="C12" s="46"/>
      <c r="D12" s="46"/>
      <c r="E12" s="46"/>
      <c r="F12" s="46"/>
      <c r="G12" s="46"/>
      <c r="H12" s="46"/>
      <c r="I12" s="46"/>
      <c r="J12" s="47"/>
      <c r="K12" s="78"/>
      <c r="L12" s="17"/>
      <c r="M12" s="48"/>
      <c r="N12" s="49"/>
    </row>
    <row r="13" spans="1:14" ht="18" customHeight="1" x14ac:dyDescent="0.25">
      <c r="B13" s="3" t="s">
        <v>11</v>
      </c>
      <c r="C13" s="79" t="s">
        <v>12</v>
      </c>
      <c r="D13" s="81"/>
      <c r="E13" s="79" t="s">
        <v>13</v>
      </c>
      <c r="F13" s="81"/>
      <c r="G13" s="79" t="s">
        <v>14</v>
      </c>
      <c r="H13" s="81"/>
      <c r="I13" s="79" t="s">
        <v>15</v>
      </c>
      <c r="J13" s="80"/>
      <c r="K13" s="11"/>
      <c r="L13" s="17"/>
      <c r="M13" s="48"/>
      <c r="N13" s="49"/>
    </row>
    <row r="14" spans="1:14" ht="18" customHeight="1" x14ac:dyDescent="0.25">
      <c r="B14" s="8"/>
      <c r="C14" s="56"/>
      <c r="D14" s="57"/>
      <c r="E14" s="56"/>
      <c r="F14" s="57"/>
      <c r="G14" s="56"/>
      <c r="H14" s="57"/>
      <c r="I14" s="56"/>
      <c r="J14" s="71"/>
      <c r="K14" s="11"/>
      <c r="L14" s="17"/>
      <c r="M14" s="48"/>
      <c r="N14" s="49"/>
    </row>
    <row r="15" spans="1:14" ht="18" customHeight="1" x14ac:dyDescent="0.25">
      <c r="B15" s="6"/>
      <c r="C15" s="58"/>
      <c r="D15" s="59"/>
      <c r="E15" s="58"/>
      <c r="F15" s="59"/>
      <c r="G15" s="58"/>
      <c r="H15" s="59"/>
      <c r="I15" s="69"/>
      <c r="J15" s="70"/>
      <c r="K15" s="13"/>
      <c r="L15" s="19"/>
      <c r="M15" s="52"/>
      <c r="N15" s="53"/>
    </row>
    <row r="16" spans="1:14" ht="18" customHeight="1" x14ac:dyDescent="0.25">
      <c r="B16" s="8"/>
      <c r="C16" s="56"/>
      <c r="D16" s="57"/>
      <c r="E16" s="56"/>
      <c r="F16" s="57"/>
      <c r="G16" s="56"/>
      <c r="H16" s="57"/>
      <c r="I16" s="65"/>
      <c r="J16" s="66"/>
      <c r="K16" s="91" t="s">
        <v>13</v>
      </c>
      <c r="L16" s="16"/>
      <c r="M16" s="54"/>
      <c r="N16" s="55"/>
    </row>
    <row r="17" spans="2:14" ht="18" customHeight="1" x14ac:dyDescent="0.25">
      <c r="B17" s="6"/>
      <c r="C17" s="58"/>
      <c r="D17" s="59"/>
      <c r="E17" s="58"/>
      <c r="F17" s="59"/>
      <c r="G17" s="58"/>
      <c r="H17" s="59"/>
      <c r="I17" s="69"/>
      <c r="J17" s="70"/>
      <c r="K17" s="92"/>
      <c r="L17" s="17"/>
      <c r="M17" s="48"/>
      <c r="N17" s="49"/>
    </row>
    <row r="18" spans="2:14" ht="18" customHeight="1" x14ac:dyDescent="0.25">
      <c r="B18" s="9"/>
      <c r="C18" s="74"/>
      <c r="D18" s="75"/>
      <c r="E18" s="74"/>
      <c r="F18" s="75"/>
      <c r="G18" s="74"/>
      <c r="H18" s="75"/>
      <c r="I18" s="74"/>
      <c r="J18" s="76"/>
      <c r="K18" s="92"/>
      <c r="L18" s="17"/>
      <c r="M18" s="48"/>
      <c r="N18" s="49"/>
    </row>
    <row r="19" spans="2:14" ht="18" customHeight="1" x14ac:dyDescent="0.25">
      <c r="B19" s="6"/>
      <c r="C19" s="58"/>
      <c r="D19" s="59"/>
      <c r="E19" s="58"/>
      <c r="F19" s="59"/>
      <c r="G19" s="58"/>
      <c r="H19" s="59"/>
      <c r="I19" s="69"/>
      <c r="J19" s="70"/>
      <c r="K19" s="11"/>
      <c r="L19" s="17"/>
      <c r="M19" s="48"/>
      <c r="N19" s="49"/>
    </row>
    <row r="20" spans="2:14" ht="18" customHeight="1" x14ac:dyDescent="0.25">
      <c r="B20" s="8"/>
      <c r="C20" s="56"/>
      <c r="D20" s="57"/>
      <c r="E20" s="56"/>
      <c r="F20" s="57"/>
      <c r="G20" s="56"/>
      <c r="H20" s="57"/>
      <c r="I20" s="56"/>
      <c r="J20" s="71"/>
      <c r="K20" s="11"/>
      <c r="L20" s="17"/>
      <c r="M20" s="48"/>
      <c r="N20" s="49"/>
    </row>
    <row r="21" spans="2:14" ht="18" customHeight="1" x14ac:dyDescent="0.25">
      <c r="B21" s="6"/>
      <c r="C21" s="58"/>
      <c r="D21" s="59"/>
      <c r="E21" s="58"/>
      <c r="F21" s="59"/>
      <c r="G21" s="58"/>
      <c r="H21" s="59"/>
      <c r="I21" s="72"/>
      <c r="J21" s="73"/>
      <c r="K21" s="13"/>
      <c r="L21" s="19"/>
      <c r="M21" s="52"/>
      <c r="N21" s="53"/>
    </row>
    <row r="22" spans="2:14" ht="18" customHeight="1" x14ac:dyDescent="0.25">
      <c r="B22" s="8"/>
      <c r="C22" s="56"/>
      <c r="D22" s="57"/>
      <c r="E22" s="56"/>
      <c r="F22" s="57"/>
      <c r="G22" s="56"/>
      <c r="H22" s="57"/>
      <c r="I22" s="56"/>
      <c r="J22" s="71"/>
      <c r="K22" s="91" t="s">
        <v>14</v>
      </c>
      <c r="L22" s="16"/>
      <c r="M22" s="54"/>
      <c r="N22" s="55"/>
    </row>
    <row r="23" spans="2:14" ht="18" customHeight="1" x14ac:dyDescent="0.25">
      <c r="B23" s="6"/>
      <c r="C23" s="58"/>
      <c r="D23" s="59"/>
      <c r="E23" s="58"/>
      <c r="F23" s="59"/>
      <c r="G23" s="58"/>
      <c r="H23" s="59"/>
      <c r="I23" s="69"/>
      <c r="J23" s="70"/>
      <c r="K23" s="92"/>
      <c r="L23" s="17"/>
      <c r="M23" s="48"/>
      <c r="N23" s="49"/>
    </row>
    <row r="24" spans="2:14" ht="18" customHeight="1" x14ac:dyDescent="0.25">
      <c r="B24" s="8"/>
      <c r="C24" s="56"/>
      <c r="D24" s="57"/>
      <c r="E24" s="56"/>
      <c r="F24" s="57"/>
      <c r="G24" s="56"/>
      <c r="H24" s="57"/>
      <c r="I24" s="56"/>
      <c r="J24" s="71"/>
      <c r="K24" s="92"/>
      <c r="L24" s="17"/>
      <c r="M24" s="48"/>
      <c r="N24" s="49"/>
    </row>
    <row r="25" spans="2:14" ht="18" customHeight="1" x14ac:dyDescent="0.25">
      <c r="B25" s="6"/>
      <c r="C25" s="58"/>
      <c r="D25" s="59"/>
      <c r="E25" s="58"/>
      <c r="F25" s="59"/>
      <c r="G25" s="58"/>
      <c r="H25" s="59"/>
      <c r="I25" s="69"/>
      <c r="J25" s="70"/>
      <c r="K25" s="92"/>
      <c r="L25" s="17"/>
      <c r="M25" s="48"/>
      <c r="N25" s="49"/>
    </row>
    <row r="26" spans="2:14" ht="18" customHeight="1" x14ac:dyDescent="0.25">
      <c r="B26" s="8"/>
      <c r="C26" s="56"/>
      <c r="D26" s="57"/>
      <c r="E26" s="56"/>
      <c r="F26" s="57"/>
      <c r="G26" s="56"/>
      <c r="H26" s="57"/>
      <c r="I26" s="56"/>
      <c r="J26" s="71"/>
      <c r="K26" s="11"/>
      <c r="L26" s="17"/>
      <c r="M26" s="48"/>
      <c r="N26" s="49"/>
    </row>
    <row r="27" spans="2:14" ht="18" customHeight="1" x14ac:dyDescent="0.25">
      <c r="B27" s="6"/>
      <c r="C27" s="58"/>
      <c r="D27" s="59"/>
      <c r="E27" s="58"/>
      <c r="F27" s="59"/>
      <c r="G27" s="58"/>
      <c r="H27" s="59"/>
      <c r="I27" s="69"/>
      <c r="J27" s="70"/>
      <c r="K27" s="13"/>
      <c r="L27" s="19"/>
      <c r="M27" s="52"/>
      <c r="N27" s="53"/>
    </row>
    <row r="28" spans="2:14" ht="18" customHeight="1" x14ac:dyDescent="0.25">
      <c r="B28" s="8"/>
      <c r="C28" s="56"/>
      <c r="D28" s="57"/>
      <c r="E28" s="56"/>
      <c r="F28" s="57"/>
      <c r="G28" s="56"/>
      <c r="H28" s="57"/>
      <c r="I28" s="56"/>
      <c r="J28" s="71"/>
      <c r="K28" s="77" t="s">
        <v>15</v>
      </c>
      <c r="L28" s="16"/>
      <c r="M28" s="54"/>
      <c r="N28" s="55"/>
    </row>
    <row r="29" spans="2:14" ht="18" customHeight="1" x14ac:dyDescent="0.25">
      <c r="B29" s="6"/>
      <c r="C29" s="58"/>
      <c r="D29" s="59"/>
      <c r="E29" s="58"/>
      <c r="F29" s="59"/>
      <c r="G29" s="58"/>
      <c r="H29" s="59"/>
      <c r="I29" s="58"/>
      <c r="J29" s="64"/>
      <c r="K29" s="78"/>
      <c r="L29" s="17"/>
      <c r="M29" s="48"/>
      <c r="N29" s="49"/>
    </row>
    <row r="30" spans="2:14" ht="18" customHeight="1" x14ac:dyDescent="0.25">
      <c r="B30" s="8"/>
      <c r="C30" s="56"/>
      <c r="D30" s="57"/>
      <c r="E30" s="56"/>
      <c r="F30" s="57"/>
      <c r="G30" s="56"/>
      <c r="H30" s="57"/>
      <c r="I30" s="62"/>
      <c r="J30" s="63"/>
      <c r="K30" s="78"/>
      <c r="L30" s="17"/>
      <c r="M30" s="48"/>
      <c r="N30" s="49"/>
    </row>
    <row r="31" spans="2:14" ht="18" customHeight="1" x14ac:dyDescent="0.25">
      <c r="B31" s="6"/>
      <c r="C31" s="58"/>
      <c r="D31" s="59"/>
      <c r="E31" s="58"/>
      <c r="F31" s="59"/>
      <c r="G31" s="58"/>
      <c r="H31" s="59"/>
      <c r="I31" s="58"/>
      <c r="J31" s="64"/>
      <c r="K31" s="14"/>
      <c r="L31" s="17"/>
      <c r="M31" s="48"/>
      <c r="N31" s="49"/>
    </row>
    <row r="32" spans="2:14" ht="18" customHeight="1" x14ac:dyDescent="0.25">
      <c r="B32" s="8"/>
      <c r="C32" s="56"/>
      <c r="D32" s="57"/>
      <c r="E32" s="56"/>
      <c r="F32" s="57"/>
      <c r="G32" s="56"/>
      <c r="H32" s="57"/>
      <c r="I32" s="65"/>
      <c r="J32" s="66"/>
      <c r="K32" s="14"/>
      <c r="L32" s="17"/>
      <c r="M32" s="48"/>
      <c r="N32" s="49"/>
    </row>
    <row r="33" spans="2:14" ht="18" customHeight="1" x14ac:dyDescent="0.25">
      <c r="B33" s="7"/>
      <c r="C33" s="60"/>
      <c r="D33" s="61"/>
      <c r="E33" s="60"/>
      <c r="F33" s="61"/>
      <c r="G33" s="60"/>
      <c r="H33" s="61"/>
      <c r="I33" s="67"/>
      <c r="J33" s="68"/>
      <c r="K33" s="15"/>
      <c r="L33" s="20"/>
      <c r="M33" s="50"/>
      <c r="N33" s="51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51" priority="3" stopIfTrue="1">
      <formula>DAY(C4)&gt;8</formula>
    </cfRule>
  </conditionalFormatting>
  <conditionalFormatting sqref="C8:I10">
    <cfRule type="expression" dxfId="50" priority="2" stopIfTrue="1">
      <formula>AND(DAY(C8)&gt;=1,DAY(C8)&lt;=15)</formula>
    </cfRule>
  </conditionalFormatting>
  <conditionalFormatting sqref="C4:I9">
    <cfRule type="expression" dxfId="49" priority="4">
      <formula>VLOOKUP(DAY(C4),DíasDeTareas,1,FALSE)=DAY(C4)</formula>
    </cfRule>
  </conditionalFormatting>
  <conditionalFormatting sqref="B14:J33">
    <cfRule type="expression" dxfId="4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B26" sqref="B26:J33"/>
    </sheetView>
  </sheetViews>
  <sheetFormatPr baseColWidth="10" defaultColWidth="8.6640625" defaultRowHeight="16.5" customHeight="1" x14ac:dyDescent="0.25"/>
  <cols>
    <col min="1" max="1" width="2.33203125" style="1" customWidth="1"/>
    <col min="2" max="2" width="12.6640625" style="1" customWidth="1"/>
    <col min="3" max="10" width="6.6640625" style="1" customWidth="1"/>
    <col min="11" max="11" width="7.33203125" style="1" customWidth="1"/>
    <col min="12" max="12" width="3.88671875" customWidth="1"/>
    <col min="13" max="13" width="51.44140625" style="1" customWidth="1"/>
    <col min="14" max="14" width="10.6640625" style="1" customWidth="1"/>
    <col min="15" max="15" width="2.33203125" customWidth="1"/>
    <col min="16" max="22" width="8.88671875" customWidth="1"/>
    <col min="42" max="16384" width="8.6640625" style="1"/>
  </cols>
  <sheetData>
    <row r="1" spans="1:14" ht="11.25" customHeight="1" x14ac:dyDescent="0.25"/>
    <row r="2" spans="1:14" ht="18" customHeight="1" x14ac:dyDescent="0.25">
      <c r="A2" s="4"/>
      <c r="B2" s="42" t="s">
        <v>22</v>
      </c>
      <c r="C2" s="21"/>
      <c r="D2" s="21"/>
      <c r="E2" s="21"/>
      <c r="F2" s="21"/>
      <c r="G2" s="21"/>
      <c r="H2" s="21"/>
      <c r="I2" s="21"/>
      <c r="J2" s="22"/>
      <c r="K2" s="82" t="s">
        <v>3</v>
      </c>
      <c r="L2" s="83">
        <v>2013</v>
      </c>
      <c r="M2" s="83"/>
      <c r="N2" s="25"/>
    </row>
    <row r="3" spans="1:14" ht="21" customHeight="1" x14ac:dyDescent="0.25">
      <c r="A3" s="4"/>
      <c r="B3" s="4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84"/>
      <c r="L3" s="85"/>
      <c r="M3" s="85"/>
      <c r="N3" s="26"/>
    </row>
    <row r="4" spans="1:14" ht="18" customHeight="1" x14ac:dyDescent="0.25">
      <c r="A4" s="4"/>
      <c r="B4" s="43"/>
      <c r="C4" s="10">
        <f>IF(DAY(MarDom1)=1,MarDom1-6,MarDom1+1)</f>
        <v>43157</v>
      </c>
      <c r="D4" s="10">
        <f>IF(DAY(MarDom1)=1,MarDom1-5,MarDom1+2)</f>
        <v>43158</v>
      </c>
      <c r="E4" s="10">
        <f>IF(DAY(MarDom1)=1,MarDom1-4,MarDom1+3)</f>
        <v>43159</v>
      </c>
      <c r="F4" s="10">
        <f>IF(DAY(MarDom1)=1,MarDom1-3,MarDom1+4)</f>
        <v>43160</v>
      </c>
      <c r="G4" s="10">
        <f>IF(DAY(MarDom1)=1,MarDom1-2,MarDom1+5)</f>
        <v>43161</v>
      </c>
      <c r="H4" s="10">
        <f>IF(DAY(MarDom1)=1,MarDom1-1,MarDom1+6)</f>
        <v>43162</v>
      </c>
      <c r="I4" s="10">
        <f>IF(DAY(MarDom1)=1,MarDom1,MarDom1+7)</f>
        <v>43163</v>
      </c>
      <c r="J4" s="5"/>
      <c r="K4" s="86" t="s">
        <v>11</v>
      </c>
      <c r="L4" s="16"/>
      <c r="M4" s="87"/>
      <c r="N4" s="88"/>
    </row>
    <row r="5" spans="1:14" ht="18" customHeight="1" x14ac:dyDescent="0.25">
      <c r="A5" s="4"/>
      <c r="B5" s="43"/>
      <c r="C5" s="10">
        <f>IF(DAY(MarDom1)=1,MarDom1+1,MarDom1+8)</f>
        <v>43164</v>
      </c>
      <c r="D5" s="10">
        <f>IF(DAY(MarDom1)=1,MarDom1+2,MarDom1+9)</f>
        <v>43165</v>
      </c>
      <c r="E5" s="10">
        <f>IF(DAY(MarDom1)=1,MarDom1+3,MarDom1+10)</f>
        <v>43166</v>
      </c>
      <c r="F5" s="10">
        <f>IF(DAY(MarDom1)=1,MarDom1+4,MarDom1+11)</f>
        <v>43167</v>
      </c>
      <c r="G5" s="10">
        <f>IF(DAY(MarDom1)=1,MarDom1+5,MarDom1+12)</f>
        <v>43168</v>
      </c>
      <c r="H5" s="10">
        <f>IF(DAY(MarDom1)=1,MarDom1+6,MarDom1+13)</f>
        <v>43169</v>
      </c>
      <c r="I5" s="10">
        <f>IF(DAY(MarDom1)=1,MarDom1+7,MarDom1+14)</f>
        <v>43170</v>
      </c>
      <c r="J5" s="5"/>
      <c r="K5" s="78"/>
      <c r="L5" s="17"/>
      <c r="M5" s="48"/>
      <c r="N5" s="49"/>
    </row>
    <row r="6" spans="1:14" ht="18" customHeight="1" x14ac:dyDescent="0.25">
      <c r="A6" s="4"/>
      <c r="B6" s="43"/>
      <c r="C6" s="10">
        <f>IF(DAY(MarDom1)=1,MarDom1+8,MarDom1+15)</f>
        <v>43171</v>
      </c>
      <c r="D6" s="10">
        <f>IF(DAY(MarDom1)=1,MarDom1+9,MarDom1+16)</f>
        <v>43172</v>
      </c>
      <c r="E6" s="10">
        <f>IF(DAY(MarDom1)=1,MarDom1+10,MarDom1+17)</f>
        <v>43173</v>
      </c>
      <c r="F6" s="10">
        <f>IF(DAY(MarDom1)=1,MarDom1+11,MarDom1+18)</f>
        <v>43174</v>
      </c>
      <c r="G6" s="10">
        <f>IF(DAY(MarDom1)=1,MarDom1+12,MarDom1+19)</f>
        <v>43175</v>
      </c>
      <c r="H6" s="10">
        <f>IF(DAY(MarDom1)=1,MarDom1+13,MarDom1+20)</f>
        <v>43176</v>
      </c>
      <c r="I6" s="10">
        <f>IF(DAY(MarDom1)=1,MarDom1+14,MarDom1+21)</f>
        <v>43177</v>
      </c>
      <c r="J6" s="5"/>
      <c r="K6" s="78"/>
      <c r="L6" s="17"/>
      <c r="M6" s="48"/>
      <c r="N6" s="49"/>
    </row>
    <row r="7" spans="1:14" ht="18" customHeight="1" x14ac:dyDescent="0.25">
      <c r="A7" s="4"/>
      <c r="B7" s="43"/>
      <c r="C7" s="10">
        <f>IF(DAY(MarDom1)=1,MarDom1+15,MarDom1+22)</f>
        <v>43178</v>
      </c>
      <c r="D7" s="10">
        <f>IF(DAY(MarDom1)=1,MarDom1+16,MarDom1+23)</f>
        <v>43179</v>
      </c>
      <c r="E7" s="10">
        <f>IF(DAY(MarDom1)=1,MarDom1+17,MarDom1+24)</f>
        <v>43180</v>
      </c>
      <c r="F7" s="10">
        <f>IF(DAY(MarDom1)=1,MarDom1+18,MarDom1+25)</f>
        <v>43181</v>
      </c>
      <c r="G7" s="10">
        <f>IF(DAY(MarDom1)=1,MarDom1+19,MarDom1+26)</f>
        <v>43182</v>
      </c>
      <c r="H7" s="10">
        <f>IF(DAY(MarDom1)=1,MarDom1+20,MarDom1+27)</f>
        <v>43183</v>
      </c>
      <c r="I7" s="10">
        <f>IF(DAY(MarDom1)=1,MarDom1+21,MarDom1+28)</f>
        <v>43184</v>
      </c>
      <c r="J7" s="5"/>
      <c r="K7" s="11"/>
      <c r="L7" s="17"/>
      <c r="M7" s="48"/>
      <c r="N7" s="49"/>
    </row>
    <row r="8" spans="1:14" ht="18.75" customHeight="1" x14ac:dyDescent="0.25">
      <c r="A8" s="4"/>
      <c r="B8" s="43"/>
      <c r="C8" s="10">
        <f>IF(DAY(MarDom1)=1,MarDom1+22,MarDom1+29)</f>
        <v>43185</v>
      </c>
      <c r="D8" s="10">
        <f>IF(DAY(MarDom1)=1,MarDom1+23,MarDom1+30)</f>
        <v>43186</v>
      </c>
      <c r="E8" s="10">
        <f>IF(DAY(MarDom1)=1,MarDom1+24,MarDom1+31)</f>
        <v>43187</v>
      </c>
      <c r="F8" s="10">
        <f>IF(DAY(MarDom1)=1,MarDom1+25,MarDom1+32)</f>
        <v>43188</v>
      </c>
      <c r="G8" s="10">
        <f>IF(DAY(MarDom1)=1,MarDom1+26,MarDom1+33)</f>
        <v>43189</v>
      </c>
      <c r="H8" s="10">
        <f>IF(DAY(MarDom1)=1,MarDom1+27,MarDom1+34)</f>
        <v>43190</v>
      </c>
      <c r="I8" s="10">
        <f>IF(DAY(MarDom1)=1,MarDom1+28,MarDom1+35)</f>
        <v>43191</v>
      </c>
      <c r="J8" s="5"/>
      <c r="K8" s="11"/>
      <c r="L8" s="17"/>
      <c r="M8" s="48"/>
      <c r="N8" s="49"/>
    </row>
    <row r="9" spans="1:14" ht="18" customHeight="1" x14ac:dyDescent="0.25">
      <c r="A9" s="4"/>
      <c r="B9" s="43"/>
      <c r="C9" s="10">
        <f>IF(DAY(MarDom1)=1,MarDom1+29,MarDom1+36)</f>
        <v>43192</v>
      </c>
      <c r="D9" s="10">
        <f>IF(DAY(MarDom1)=1,MarDom1+30,MarDom1+37)</f>
        <v>43193</v>
      </c>
      <c r="E9" s="10">
        <f>IF(DAY(MarDom1)=1,MarDom1+31,MarDom1+38)</f>
        <v>43194</v>
      </c>
      <c r="F9" s="10">
        <f>IF(DAY(MarDom1)=1,MarDom1+32,MarDom1+39)</f>
        <v>43195</v>
      </c>
      <c r="G9" s="10">
        <f>IF(DAY(MarDom1)=1,MarDom1+33,MarDom1+40)</f>
        <v>43196</v>
      </c>
      <c r="H9" s="10">
        <f>IF(DAY(MarDom1)=1,MarDom1+34,MarDom1+41)</f>
        <v>43197</v>
      </c>
      <c r="I9" s="10">
        <f>IF(DAY(MarDom1)=1,MarDom1+35,MarDom1+42)</f>
        <v>43198</v>
      </c>
      <c r="J9" s="5"/>
      <c r="K9" s="12"/>
      <c r="L9" s="18"/>
      <c r="M9" s="52"/>
      <c r="N9" s="53"/>
    </row>
    <row r="10" spans="1:14" ht="18" customHeight="1" x14ac:dyDescent="0.25">
      <c r="A10" s="4"/>
      <c r="B10" s="44"/>
      <c r="C10" s="23"/>
      <c r="D10" s="23"/>
      <c r="E10" s="23"/>
      <c r="F10" s="23"/>
      <c r="G10" s="23"/>
      <c r="H10" s="23"/>
      <c r="I10" s="23"/>
      <c r="J10" s="24"/>
      <c r="K10" s="77" t="s">
        <v>12</v>
      </c>
      <c r="L10" s="16"/>
      <c r="M10" s="54"/>
      <c r="N10" s="55"/>
    </row>
    <row r="11" spans="1:14" ht="18" customHeight="1" x14ac:dyDescent="0.25">
      <c r="A11" s="4"/>
      <c r="B11" s="45" t="s">
        <v>10</v>
      </c>
      <c r="C11" s="46"/>
      <c r="D11" s="46"/>
      <c r="E11" s="46"/>
      <c r="F11" s="46"/>
      <c r="G11" s="46"/>
      <c r="H11" s="46"/>
      <c r="I11" s="46"/>
      <c r="J11" s="47"/>
      <c r="K11" s="78"/>
      <c r="L11" s="17"/>
      <c r="M11" s="48"/>
      <c r="N11" s="49"/>
    </row>
    <row r="12" spans="1:14" ht="18" customHeight="1" x14ac:dyDescent="0.25">
      <c r="A12" s="4"/>
      <c r="B12" s="45"/>
      <c r="C12" s="46"/>
      <c r="D12" s="46"/>
      <c r="E12" s="46"/>
      <c r="F12" s="46"/>
      <c r="G12" s="46"/>
      <c r="H12" s="46"/>
      <c r="I12" s="46"/>
      <c r="J12" s="47"/>
      <c r="K12" s="78"/>
      <c r="L12" s="17"/>
      <c r="M12" s="48"/>
      <c r="N12" s="49"/>
    </row>
    <row r="13" spans="1:14" ht="18" customHeight="1" x14ac:dyDescent="0.25">
      <c r="B13" s="3" t="s">
        <v>11</v>
      </c>
      <c r="C13" s="79" t="s">
        <v>12</v>
      </c>
      <c r="D13" s="81"/>
      <c r="E13" s="79" t="s">
        <v>13</v>
      </c>
      <c r="F13" s="81"/>
      <c r="G13" s="79" t="s">
        <v>14</v>
      </c>
      <c r="H13" s="81"/>
      <c r="I13" s="79" t="s">
        <v>15</v>
      </c>
      <c r="J13" s="80"/>
      <c r="K13" s="11"/>
      <c r="L13" s="17"/>
      <c r="M13" s="48"/>
      <c r="N13" s="49"/>
    </row>
    <row r="14" spans="1:14" ht="18" customHeight="1" x14ac:dyDescent="0.25">
      <c r="B14" s="8"/>
      <c r="C14" s="56"/>
      <c r="D14" s="57"/>
      <c r="E14" s="56"/>
      <c r="F14" s="57"/>
      <c r="G14" s="56"/>
      <c r="H14" s="57"/>
      <c r="I14" s="56"/>
      <c r="J14" s="71"/>
      <c r="K14" s="11"/>
      <c r="L14" s="17"/>
      <c r="M14" s="48"/>
      <c r="N14" s="49"/>
    </row>
    <row r="15" spans="1:14" ht="18" customHeight="1" x14ac:dyDescent="0.25">
      <c r="B15" s="6"/>
      <c r="C15" s="58"/>
      <c r="D15" s="59"/>
      <c r="E15" s="58"/>
      <c r="F15" s="59"/>
      <c r="G15" s="58"/>
      <c r="H15" s="59"/>
      <c r="I15" s="69"/>
      <c r="J15" s="70"/>
      <c r="K15" s="13"/>
      <c r="L15" s="19"/>
      <c r="M15" s="52"/>
      <c r="N15" s="53"/>
    </row>
    <row r="16" spans="1:14" ht="18" customHeight="1" x14ac:dyDescent="0.25">
      <c r="B16" s="8"/>
      <c r="C16" s="56"/>
      <c r="D16" s="57"/>
      <c r="E16" s="56"/>
      <c r="F16" s="57"/>
      <c r="G16" s="56"/>
      <c r="H16" s="57"/>
      <c r="I16" s="65"/>
      <c r="J16" s="66"/>
      <c r="K16" s="91" t="s">
        <v>13</v>
      </c>
      <c r="L16" s="16"/>
      <c r="M16" s="54"/>
      <c r="N16" s="55"/>
    </row>
    <row r="17" spans="2:14" ht="18" customHeight="1" x14ac:dyDescent="0.25">
      <c r="B17" s="6"/>
      <c r="C17" s="58"/>
      <c r="D17" s="59"/>
      <c r="E17" s="58"/>
      <c r="F17" s="59"/>
      <c r="G17" s="58"/>
      <c r="H17" s="59"/>
      <c r="I17" s="69"/>
      <c r="J17" s="70"/>
      <c r="K17" s="92"/>
      <c r="L17" s="17"/>
      <c r="M17" s="48"/>
      <c r="N17" s="49"/>
    </row>
    <row r="18" spans="2:14" ht="18" customHeight="1" x14ac:dyDescent="0.25">
      <c r="B18" s="9"/>
      <c r="C18" s="74"/>
      <c r="D18" s="75"/>
      <c r="E18" s="74"/>
      <c r="F18" s="75"/>
      <c r="G18" s="74"/>
      <c r="H18" s="75"/>
      <c r="I18" s="74"/>
      <c r="J18" s="76"/>
      <c r="K18" s="92"/>
      <c r="L18" s="17"/>
      <c r="M18" s="48"/>
      <c r="N18" s="49"/>
    </row>
    <row r="19" spans="2:14" ht="18" customHeight="1" x14ac:dyDescent="0.25">
      <c r="B19" s="6"/>
      <c r="C19" s="58"/>
      <c r="D19" s="59"/>
      <c r="E19" s="58"/>
      <c r="F19" s="59"/>
      <c r="G19" s="58"/>
      <c r="H19" s="59"/>
      <c r="I19" s="69"/>
      <c r="J19" s="70"/>
      <c r="K19" s="11"/>
      <c r="L19" s="17"/>
      <c r="M19" s="48"/>
      <c r="N19" s="49"/>
    </row>
    <row r="20" spans="2:14" ht="18" customHeight="1" x14ac:dyDescent="0.25">
      <c r="B20" s="8"/>
      <c r="C20" s="56"/>
      <c r="D20" s="57"/>
      <c r="E20" s="56"/>
      <c r="F20" s="57"/>
      <c r="G20" s="56"/>
      <c r="H20" s="57"/>
      <c r="I20" s="56"/>
      <c r="J20" s="71"/>
      <c r="K20" s="11"/>
      <c r="L20" s="17"/>
      <c r="M20" s="48"/>
      <c r="N20" s="49"/>
    </row>
    <row r="21" spans="2:14" ht="18" customHeight="1" x14ac:dyDescent="0.25">
      <c r="B21" s="6"/>
      <c r="C21" s="58"/>
      <c r="D21" s="59"/>
      <c r="E21" s="58"/>
      <c r="F21" s="59"/>
      <c r="G21" s="58"/>
      <c r="H21" s="59"/>
      <c r="I21" s="72"/>
      <c r="J21" s="73"/>
      <c r="K21" s="13"/>
      <c r="L21" s="19"/>
      <c r="M21" s="52"/>
      <c r="N21" s="53"/>
    </row>
    <row r="22" spans="2:14" ht="18" customHeight="1" x14ac:dyDescent="0.25">
      <c r="B22" s="8"/>
      <c r="C22" s="56"/>
      <c r="D22" s="57"/>
      <c r="E22" s="56"/>
      <c r="F22" s="57"/>
      <c r="G22" s="56"/>
      <c r="H22" s="57"/>
      <c r="I22" s="56"/>
      <c r="J22" s="71"/>
      <c r="K22" s="91" t="s">
        <v>14</v>
      </c>
      <c r="L22" s="16"/>
      <c r="M22" s="54"/>
      <c r="N22" s="55"/>
    </row>
    <row r="23" spans="2:14" ht="18" customHeight="1" x14ac:dyDescent="0.25">
      <c r="B23" s="6"/>
      <c r="C23" s="58"/>
      <c r="D23" s="59"/>
      <c r="E23" s="58"/>
      <c r="F23" s="59"/>
      <c r="G23" s="58"/>
      <c r="H23" s="59"/>
      <c r="I23" s="69"/>
      <c r="J23" s="70"/>
      <c r="K23" s="92"/>
      <c r="L23" s="17"/>
      <c r="M23" s="48"/>
      <c r="N23" s="49"/>
    </row>
    <row r="24" spans="2:14" ht="18" customHeight="1" x14ac:dyDescent="0.25">
      <c r="B24" s="8"/>
      <c r="C24" s="56"/>
      <c r="D24" s="57"/>
      <c r="E24" s="56"/>
      <c r="F24" s="57"/>
      <c r="G24" s="56"/>
      <c r="H24" s="57"/>
      <c r="I24" s="56"/>
      <c r="J24" s="71"/>
      <c r="K24" s="92"/>
      <c r="L24" s="17"/>
      <c r="M24" s="48"/>
      <c r="N24" s="49"/>
    </row>
    <row r="25" spans="2:14" ht="18" customHeight="1" x14ac:dyDescent="0.25">
      <c r="B25" s="6"/>
      <c r="C25" s="58"/>
      <c r="D25" s="59"/>
      <c r="E25" s="58"/>
      <c r="F25" s="59"/>
      <c r="G25" s="58"/>
      <c r="H25" s="59"/>
      <c r="I25" s="69"/>
      <c r="J25" s="70"/>
      <c r="K25" s="92"/>
      <c r="L25" s="17"/>
      <c r="M25" s="48"/>
      <c r="N25" s="49"/>
    </row>
    <row r="26" spans="2:14" ht="18" customHeight="1" x14ac:dyDescent="0.25">
      <c r="B26" s="8"/>
      <c r="C26" s="56"/>
      <c r="D26" s="57"/>
      <c r="E26" s="56"/>
      <c r="F26" s="57"/>
      <c r="G26" s="56"/>
      <c r="H26" s="57"/>
      <c r="I26" s="56"/>
      <c r="J26" s="71"/>
      <c r="K26" s="11"/>
      <c r="L26" s="17"/>
      <c r="M26" s="48"/>
      <c r="N26" s="49"/>
    </row>
    <row r="27" spans="2:14" ht="18" customHeight="1" x14ac:dyDescent="0.25">
      <c r="B27" s="6"/>
      <c r="C27" s="58"/>
      <c r="D27" s="59"/>
      <c r="E27" s="58"/>
      <c r="F27" s="59"/>
      <c r="G27" s="58"/>
      <c r="H27" s="59"/>
      <c r="I27" s="69"/>
      <c r="J27" s="70"/>
      <c r="K27" s="13"/>
      <c r="L27" s="19"/>
      <c r="M27" s="52"/>
      <c r="N27" s="53"/>
    </row>
    <row r="28" spans="2:14" ht="18" customHeight="1" x14ac:dyDescent="0.25">
      <c r="B28" s="8"/>
      <c r="C28" s="56"/>
      <c r="D28" s="57"/>
      <c r="E28" s="56"/>
      <c r="F28" s="57"/>
      <c r="G28" s="56"/>
      <c r="H28" s="57"/>
      <c r="I28" s="56"/>
      <c r="J28" s="71"/>
      <c r="K28" s="77" t="s">
        <v>15</v>
      </c>
      <c r="L28" s="16"/>
      <c r="M28" s="54"/>
      <c r="N28" s="55"/>
    </row>
    <row r="29" spans="2:14" ht="18" customHeight="1" x14ac:dyDescent="0.25">
      <c r="B29" s="6"/>
      <c r="C29" s="58"/>
      <c r="D29" s="59"/>
      <c r="E29" s="58"/>
      <c r="F29" s="59"/>
      <c r="G29" s="58"/>
      <c r="H29" s="59"/>
      <c r="I29" s="58"/>
      <c r="J29" s="64"/>
      <c r="K29" s="78"/>
      <c r="L29" s="17"/>
      <c r="M29" s="48"/>
      <c r="N29" s="49"/>
    </row>
    <row r="30" spans="2:14" ht="18" customHeight="1" x14ac:dyDescent="0.25">
      <c r="B30" s="8"/>
      <c r="C30" s="56"/>
      <c r="D30" s="57"/>
      <c r="E30" s="56"/>
      <c r="F30" s="57"/>
      <c r="G30" s="56"/>
      <c r="H30" s="57"/>
      <c r="I30" s="62"/>
      <c r="J30" s="63"/>
      <c r="K30" s="78"/>
      <c r="L30" s="17"/>
      <c r="M30" s="48"/>
      <c r="N30" s="49"/>
    </row>
    <row r="31" spans="2:14" ht="18" customHeight="1" x14ac:dyDescent="0.25">
      <c r="B31" s="6"/>
      <c r="C31" s="58"/>
      <c r="D31" s="59"/>
      <c r="E31" s="58"/>
      <c r="F31" s="59"/>
      <c r="G31" s="58"/>
      <c r="H31" s="59"/>
      <c r="I31" s="58"/>
      <c r="J31" s="64"/>
      <c r="K31" s="14"/>
      <c r="L31" s="17"/>
      <c r="M31" s="48"/>
      <c r="N31" s="49"/>
    </row>
    <row r="32" spans="2:14" ht="18" customHeight="1" x14ac:dyDescent="0.25">
      <c r="B32" s="8"/>
      <c r="C32" s="56"/>
      <c r="D32" s="57"/>
      <c r="E32" s="56"/>
      <c r="F32" s="57"/>
      <c r="G32" s="56"/>
      <c r="H32" s="57"/>
      <c r="I32" s="65"/>
      <c r="J32" s="66"/>
      <c r="K32" s="14"/>
      <c r="L32" s="17"/>
      <c r="M32" s="48"/>
      <c r="N32" s="49"/>
    </row>
    <row r="33" spans="2:14" ht="18" customHeight="1" x14ac:dyDescent="0.25">
      <c r="B33" s="7"/>
      <c r="C33" s="60"/>
      <c r="D33" s="61"/>
      <c r="E33" s="60"/>
      <c r="F33" s="61"/>
      <c r="G33" s="60"/>
      <c r="H33" s="61"/>
      <c r="I33" s="67"/>
      <c r="J33" s="68"/>
      <c r="K33" s="15"/>
      <c r="L33" s="20"/>
      <c r="M33" s="50"/>
      <c r="N33" s="51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47" priority="3" stopIfTrue="1">
      <formula>DAY(C4)&gt;8</formula>
    </cfRule>
  </conditionalFormatting>
  <conditionalFormatting sqref="C8:I10">
    <cfRule type="expression" dxfId="46" priority="2" stopIfTrue="1">
      <formula>AND(DAY(C8)&gt;=1,DAY(C8)&lt;=15)</formula>
    </cfRule>
  </conditionalFormatting>
  <conditionalFormatting sqref="C4:I9">
    <cfRule type="expression" dxfId="45" priority="4">
      <formula>VLOOKUP(DAY(C4),DíasDeTareas,1,FALSE)=DAY(C4)</formula>
    </cfRule>
  </conditionalFormatting>
  <conditionalFormatting sqref="B14:J33">
    <cfRule type="expression" dxfId="4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B14" sqref="B14:J31"/>
    </sheetView>
  </sheetViews>
  <sheetFormatPr baseColWidth="10" defaultColWidth="8.6640625" defaultRowHeight="16.5" customHeight="1" x14ac:dyDescent="0.25"/>
  <cols>
    <col min="1" max="1" width="2.33203125" style="1" customWidth="1"/>
    <col min="2" max="2" width="12.6640625" style="1" customWidth="1"/>
    <col min="3" max="10" width="6.6640625" style="1" customWidth="1"/>
    <col min="11" max="11" width="7.33203125" style="1" customWidth="1"/>
    <col min="12" max="12" width="3.88671875" customWidth="1"/>
    <col min="13" max="13" width="51.44140625" style="1" customWidth="1"/>
    <col min="14" max="14" width="10.6640625" style="1" customWidth="1"/>
    <col min="15" max="15" width="2.33203125" customWidth="1"/>
    <col min="16" max="22" width="8.88671875" customWidth="1"/>
    <col min="42" max="16384" width="8.6640625" style="1"/>
  </cols>
  <sheetData>
    <row r="1" spans="1:14" ht="11.25" customHeight="1" x14ac:dyDescent="0.25"/>
    <row r="2" spans="1:14" ht="18" customHeight="1" x14ac:dyDescent="0.25">
      <c r="A2" s="4"/>
      <c r="B2" s="42" t="s">
        <v>21</v>
      </c>
      <c r="C2" s="21"/>
      <c r="D2" s="21"/>
      <c r="E2" s="21"/>
      <c r="F2" s="21"/>
      <c r="G2" s="21"/>
      <c r="H2" s="21"/>
      <c r="I2" s="21"/>
      <c r="J2" s="22"/>
      <c r="K2" s="82" t="s">
        <v>3</v>
      </c>
      <c r="L2" s="83">
        <v>2013</v>
      </c>
      <c r="M2" s="83"/>
      <c r="N2" s="25"/>
    </row>
    <row r="3" spans="1:14" ht="21" customHeight="1" x14ac:dyDescent="0.25">
      <c r="A3" s="4"/>
      <c r="B3" s="4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84"/>
      <c r="L3" s="85"/>
      <c r="M3" s="85"/>
      <c r="N3" s="26"/>
    </row>
    <row r="4" spans="1:14" ht="18" customHeight="1" x14ac:dyDescent="0.25">
      <c r="A4" s="4"/>
      <c r="B4" s="43"/>
      <c r="C4" s="10">
        <f>IF(DAY(AbrDom1)=1,AbrDom1-6,AbrDom1+1)</f>
        <v>43185</v>
      </c>
      <c r="D4" s="10">
        <f>IF(DAY(AbrDom1)=1,AbrDom1-5,AbrDom1+2)</f>
        <v>43186</v>
      </c>
      <c r="E4" s="10">
        <f>IF(DAY(AbrDom1)=1,AbrDom1-4,AbrDom1+3)</f>
        <v>43187</v>
      </c>
      <c r="F4" s="10">
        <f>IF(DAY(AbrDom1)=1,AbrDom1-3,AbrDom1+4)</f>
        <v>43188</v>
      </c>
      <c r="G4" s="10">
        <f>IF(DAY(AbrDom1)=1,AbrDom1-2,AbrDom1+5)</f>
        <v>43189</v>
      </c>
      <c r="H4" s="10">
        <f>IF(DAY(AbrDom1)=1,AbrDom1-1,AbrDom1+6)</f>
        <v>43190</v>
      </c>
      <c r="I4" s="10">
        <f>IF(DAY(AbrDom1)=1,AbrDom1,AbrDom1+7)</f>
        <v>43191</v>
      </c>
      <c r="J4" s="5"/>
      <c r="K4" s="86" t="s">
        <v>11</v>
      </c>
      <c r="L4" s="16"/>
      <c r="M4" s="87"/>
      <c r="N4" s="88"/>
    </row>
    <row r="5" spans="1:14" ht="18" customHeight="1" x14ac:dyDescent="0.25">
      <c r="A5" s="4"/>
      <c r="B5" s="43"/>
      <c r="C5" s="10">
        <f>IF(DAY(AbrDom1)=1,AbrDom1+1,AbrDom1+8)</f>
        <v>43192</v>
      </c>
      <c r="D5" s="10">
        <f>IF(DAY(AbrDom1)=1,AbrDom1+2,AbrDom1+9)</f>
        <v>43193</v>
      </c>
      <c r="E5" s="10">
        <f>IF(DAY(AbrDom1)=1,AbrDom1+3,AbrDom1+10)</f>
        <v>43194</v>
      </c>
      <c r="F5" s="10">
        <f>IF(DAY(AbrDom1)=1,AbrDom1+4,AbrDom1+11)</f>
        <v>43195</v>
      </c>
      <c r="G5" s="10">
        <f>IF(DAY(AbrDom1)=1,AbrDom1+5,AbrDom1+12)</f>
        <v>43196</v>
      </c>
      <c r="H5" s="10">
        <f>IF(DAY(AbrDom1)=1,AbrDom1+6,AbrDom1+13)</f>
        <v>43197</v>
      </c>
      <c r="I5" s="10">
        <f>IF(DAY(AbrDom1)=1,AbrDom1+7,AbrDom1+14)</f>
        <v>43198</v>
      </c>
      <c r="J5" s="5"/>
      <c r="K5" s="78"/>
      <c r="L5" s="17"/>
      <c r="M5" s="48"/>
      <c r="N5" s="49"/>
    </row>
    <row r="6" spans="1:14" ht="18" customHeight="1" x14ac:dyDescent="0.25">
      <c r="A6" s="4"/>
      <c r="B6" s="43"/>
      <c r="C6" s="10">
        <f>IF(DAY(AbrDom1)=1,AbrDom1+8,AbrDom1+15)</f>
        <v>43199</v>
      </c>
      <c r="D6" s="10">
        <f>IF(DAY(AbrDom1)=1,AbrDom1+9,AbrDom1+16)</f>
        <v>43200</v>
      </c>
      <c r="E6" s="10">
        <f>IF(DAY(AbrDom1)=1,AbrDom1+10,AbrDom1+17)</f>
        <v>43201</v>
      </c>
      <c r="F6" s="10">
        <f>IF(DAY(AbrDom1)=1,AbrDom1+11,AbrDom1+18)</f>
        <v>43202</v>
      </c>
      <c r="G6" s="10">
        <f>IF(DAY(AbrDom1)=1,AbrDom1+12,AbrDom1+19)</f>
        <v>43203</v>
      </c>
      <c r="H6" s="10">
        <f>IF(DAY(AbrDom1)=1,AbrDom1+13,AbrDom1+20)</f>
        <v>43204</v>
      </c>
      <c r="I6" s="10">
        <f>IF(DAY(AbrDom1)=1,AbrDom1+14,AbrDom1+21)</f>
        <v>43205</v>
      </c>
      <c r="J6" s="5"/>
      <c r="K6" s="78"/>
      <c r="L6" s="17"/>
      <c r="M6" s="48"/>
      <c r="N6" s="49"/>
    </row>
    <row r="7" spans="1:14" ht="18" customHeight="1" x14ac:dyDescent="0.25">
      <c r="A7" s="4"/>
      <c r="B7" s="43"/>
      <c r="C7" s="10">
        <f>IF(DAY(AbrDom1)=1,AbrDom1+15,AbrDom1+22)</f>
        <v>43206</v>
      </c>
      <c r="D7" s="10">
        <f>IF(DAY(AbrDom1)=1,AbrDom1+16,AbrDom1+23)</f>
        <v>43207</v>
      </c>
      <c r="E7" s="10">
        <f>IF(DAY(AbrDom1)=1,AbrDom1+17,AbrDom1+24)</f>
        <v>43208</v>
      </c>
      <c r="F7" s="10">
        <f>IF(DAY(AbrDom1)=1,AbrDom1+18,AbrDom1+25)</f>
        <v>43209</v>
      </c>
      <c r="G7" s="10">
        <f>IF(DAY(AbrDom1)=1,AbrDom1+19,AbrDom1+26)</f>
        <v>43210</v>
      </c>
      <c r="H7" s="10">
        <f>IF(DAY(AbrDom1)=1,AbrDom1+20,AbrDom1+27)</f>
        <v>43211</v>
      </c>
      <c r="I7" s="10">
        <f>IF(DAY(AbrDom1)=1,AbrDom1+21,AbrDom1+28)</f>
        <v>43212</v>
      </c>
      <c r="J7" s="5"/>
      <c r="K7" s="11"/>
      <c r="L7" s="17"/>
      <c r="M7" s="48"/>
      <c r="N7" s="49"/>
    </row>
    <row r="8" spans="1:14" ht="18.75" customHeight="1" x14ac:dyDescent="0.25">
      <c r="A8" s="4"/>
      <c r="B8" s="43"/>
      <c r="C8" s="10">
        <f>IF(DAY(AbrDom1)=1,AbrDom1+22,AbrDom1+29)</f>
        <v>43213</v>
      </c>
      <c r="D8" s="10">
        <f>IF(DAY(AbrDom1)=1,AbrDom1+23,AbrDom1+30)</f>
        <v>43214</v>
      </c>
      <c r="E8" s="10">
        <f>IF(DAY(AbrDom1)=1,AbrDom1+24,AbrDom1+31)</f>
        <v>43215</v>
      </c>
      <c r="F8" s="10">
        <f>IF(DAY(AbrDom1)=1,AbrDom1+25,AbrDom1+32)</f>
        <v>43216</v>
      </c>
      <c r="G8" s="10">
        <f>IF(DAY(AbrDom1)=1,AbrDom1+26,AbrDom1+33)</f>
        <v>43217</v>
      </c>
      <c r="H8" s="10">
        <f>IF(DAY(AbrDom1)=1,AbrDom1+27,AbrDom1+34)</f>
        <v>43218</v>
      </c>
      <c r="I8" s="10">
        <f>IF(DAY(AbrDom1)=1,AbrDom1+28,AbrDom1+35)</f>
        <v>43219</v>
      </c>
      <c r="J8" s="5"/>
      <c r="K8" s="11"/>
      <c r="L8" s="17"/>
      <c r="M8" s="48"/>
      <c r="N8" s="49"/>
    </row>
    <row r="9" spans="1:14" ht="18" customHeight="1" x14ac:dyDescent="0.25">
      <c r="A9" s="4"/>
      <c r="B9" s="43"/>
      <c r="C9" s="10">
        <f>IF(DAY(AbrDom1)=1,AbrDom1+29,AbrDom1+36)</f>
        <v>43220</v>
      </c>
      <c r="D9" s="10">
        <f>IF(DAY(AbrDom1)=1,AbrDom1+30,AbrDom1+37)</f>
        <v>43221</v>
      </c>
      <c r="E9" s="10">
        <f>IF(DAY(AbrDom1)=1,AbrDom1+31,AbrDom1+38)</f>
        <v>43222</v>
      </c>
      <c r="F9" s="10">
        <f>IF(DAY(AbrDom1)=1,AbrDom1+32,AbrDom1+39)</f>
        <v>43223</v>
      </c>
      <c r="G9" s="10">
        <f>IF(DAY(AbrDom1)=1,AbrDom1+33,AbrDom1+40)</f>
        <v>43224</v>
      </c>
      <c r="H9" s="10">
        <f>IF(DAY(AbrDom1)=1,AbrDom1+34,AbrDom1+41)</f>
        <v>43225</v>
      </c>
      <c r="I9" s="10">
        <f>IF(DAY(AbrDom1)=1,AbrDom1+35,AbrDom1+42)</f>
        <v>43226</v>
      </c>
      <c r="J9" s="5"/>
      <c r="K9" s="12"/>
      <c r="L9" s="18"/>
      <c r="M9" s="52"/>
      <c r="N9" s="53"/>
    </row>
    <row r="10" spans="1:14" ht="18" customHeight="1" x14ac:dyDescent="0.25">
      <c r="A10" s="4"/>
      <c r="B10" s="44"/>
      <c r="C10" s="23"/>
      <c r="D10" s="23"/>
      <c r="E10" s="23"/>
      <c r="F10" s="23"/>
      <c r="G10" s="23"/>
      <c r="H10" s="23"/>
      <c r="I10" s="23"/>
      <c r="J10" s="24"/>
      <c r="K10" s="77" t="s">
        <v>12</v>
      </c>
      <c r="L10" s="16"/>
      <c r="M10" s="54"/>
      <c r="N10" s="55"/>
    </row>
    <row r="11" spans="1:14" ht="18" customHeight="1" x14ac:dyDescent="0.25">
      <c r="A11" s="4"/>
      <c r="B11" s="45" t="s">
        <v>10</v>
      </c>
      <c r="C11" s="46"/>
      <c r="D11" s="46"/>
      <c r="E11" s="46"/>
      <c r="F11" s="46"/>
      <c r="G11" s="46"/>
      <c r="H11" s="46"/>
      <c r="I11" s="46"/>
      <c r="J11" s="47"/>
      <c r="K11" s="78"/>
      <c r="L11" s="17"/>
      <c r="M11" s="48"/>
      <c r="N11" s="49"/>
    </row>
    <row r="12" spans="1:14" ht="18" customHeight="1" x14ac:dyDescent="0.25">
      <c r="A12" s="4"/>
      <c r="B12" s="45"/>
      <c r="C12" s="46"/>
      <c r="D12" s="46"/>
      <c r="E12" s="46"/>
      <c r="F12" s="46"/>
      <c r="G12" s="46"/>
      <c r="H12" s="46"/>
      <c r="I12" s="46"/>
      <c r="J12" s="47"/>
      <c r="K12" s="78"/>
      <c r="L12" s="17"/>
      <c r="M12" s="48"/>
      <c r="N12" s="49"/>
    </row>
    <row r="13" spans="1:14" ht="18" customHeight="1" x14ac:dyDescent="0.25">
      <c r="B13" s="3" t="s">
        <v>11</v>
      </c>
      <c r="C13" s="79" t="s">
        <v>12</v>
      </c>
      <c r="D13" s="81"/>
      <c r="E13" s="79" t="s">
        <v>13</v>
      </c>
      <c r="F13" s="81"/>
      <c r="G13" s="79" t="s">
        <v>14</v>
      </c>
      <c r="H13" s="81"/>
      <c r="I13" s="79" t="s">
        <v>15</v>
      </c>
      <c r="J13" s="80"/>
      <c r="K13" s="11"/>
      <c r="L13" s="17"/>
      <c r="M13" s="48"/>
      <c r="N13" s="49"/>
    </row>
    <row r="14" spans="1:14" ht="18" customHeight="1" x14ac:dyDescent="0.25">
      <c r="B14" s="8"/>
      <c r="C14" s="56"/>
      <c r="D14" s="57"/>
      <c r="E14" s="56"/>
      <c r="F14" s="57"/>
      <c r="G14" s="56"/>
      <c r="H14" s="57"/>
      <c r="I14" s="56"/>
      <c r="J14" s="71"/>
      <c r="K14" s="11"/>
      <c r="L14" s="17"/>
      <c r="M14" s="48"/>
      <c r="N14" s="49"/>
    </row>
    <row r="15" spans="1:14" ht="18" customHeight="1" x14ac:dyDescent="0.25">
      <c r="B15" s="6"/>
      <c r="C15" s="58"/>
      <c r="D15" s="59"/>
      <c r="E15" s="58"/>
      <c r="F15" s="59"/>
      <c r="G15" s="58"/>
      <c r="H15" s="59"/>
      <c r="I15" s="69"/>
      <c r="J15" s="70"/>
      <c r="K15" s="13"/>
      <c r="L15" s="19"/>
      <c r="M15" s="52"/>
      <c r="N15" s="53"/>
    </row>
    <row r="16" spans="1:14" ht="18" customHeight="1" x14ac:dyDescent="0.25">
      <c r="B16" s="8"/>
      <c r="C16" s="56"/>
      <c r="D16" s="57"/>
      <c r="E16" s="56"/>
      <c r="F16" s="57"/>
      <c r="G16" s="56"/>
      <c r="H16" s="57"/>
      <c r="I16" s="65"/>
      <c r="J16" s="66"/>
      <c r="K16" s="91" t="s">
        <v>13</v>
      </c>
      <c r="L16" s="16"/>
      <c r="M16" s="54"/>
      <c r="N16" s="55"/>
    </row>
    <row r="17" spans="2:14" ht="18" customHeight="1" x14ac:dyDescent="0.25">
      <c r="B17" s="6"/>
      <c r="C17" s="58"/>
      <c r="D17" s="59"/>
      <c r="E17" s="58"/>
      <c r="F17" s="59"/>
      <c r="G17" s="58"/>
      <c r="H17" s="59"/>
      <c r="I17" s="69"/>
      <c r="J17" s="70"/>
      <c r="K17" s="92"/>
      <c r="L17" s="17"/>
      <c r="M17" s="48"/>
      <c r="N17" s="49"/>
    </row>
    <row r="18" spans="2:14" ht="18" customHeight="1" x14ac:dyDescent="0.25">
      <c r="B18" s="9"/>
      <c r="C18" s="74"/>
      <c r="D18" s="75"/>
      <c r="E18" s="74"/>
      <c r="F18" s="75"/>
      <c r="G18" s="74"/>
      <c r="H18" s="75"/>
      <c r="I18" s="74"/>
      <c r="J18" s="76"/>
      <c r="K18" s="92"/>
      <c r="L18" s="17"/>
      <c r="M18" s="48"/>
      <c r="N18" s="49"/>
    </row>
    <row r="19" spans="2:14" ht="18" customHeight="1" x14ac:dyDescent="0.25">
      <c r="B19" s="6"/>
      <c r="C19" s="58"/>
      <c r="D19" s="59"/>
      <c r="E19" s="58"/>
      <c r="F19" s="59"/>
      <c r="G19" s="58"/>
      <c r="H19" s="59"/>
      <c r="I19" s="69"/>
      <c r="J19" s="70"/>
      <c r="K19" s="11"/>
      <c r="L19" s="17"/>
      <c r="M19" s="48"/>
      <c r="N19" s="49"/>
    </row>
    <row r="20" spans="2:14" ht="18" customHeight="1" x14ac:dyDescent="0.25">
      <c r="B20" s="8"/>
      <c r="C20" s="56"/>
      <c r="D20" s="57"/>
      <c r="E20" s="56"/>
      <c r="F20" s="57"/>
      <c r="G20" s="56"/>
      <c r="H20" s="57"/>
      <c r="I20" s="56"/>
      <c r="J20" s="71"/>
      <c r="K20" s="11"/>
      <c r="L20" s="17"/>
      <c r="M20" s="48"/>
      <c r="N20" s="49"/>
    </row>
    <row r="21" spans="2:14" ht="18" customHeight="1" x14ac:dyDescent="0.25">
      <c r="B21" s="6"/>
      <c r="C21" s="58"/>
      <c r="D21" s="59"/>
      <c r="E21" s="58"/>
      <c r="F21" s="59"/>
      <c r="G21" s="58"/>
      <c r="H21" s="59"/>
      <c r="I21" s="72"/>
      <c r="J21" s="73"/>
      <c r="K21" s="13"/>
      <c r="L21" s="19"/>
      <c r="M21" s="52"/>
      <c r="N21" s="53"/>
    </row>
    <row r="22" spans="2:14" ht="18" customHeight="1" x14ac:dyDescent="0.25">
      <c r="B22" s="8"/>
      <c r="C22" s="56"/>
      <c r="D22" s="57"/>
      <c r="E22" s="56"/>
      <c r="F22" s="57"/>
      <c r="G22" s="56"/>
      <c r="H22" s="57"/>
      <c r="I22" s="56"/>
      <c r="J22" s="71"/>
      <c r="K22" s="91" t="s">
        <v>14</v>
      </c>
      <c r="L22" s="16"/>
      <c r="M22" s="54"/>
      <c r="N22" s="55"/>
    </row>
    <row r="23" spans="2:14" ht="18" customHeight="1" x14ac:dyDescent="0.25">
      <c r="B23" s="6"/>
      <c r="C23" s="58"/>
      <c r="D23" s="59"/>
      <c r="E23" s="58"/>
      <c r="F23" s="59"/>
      <c r="G23" s="58"/>
      <c r="H23" s="59"/>
      <c r="I23" s="69"/>
      <c r="J23" s="70"/>
      <c r="K23" s="92"/>
      <c r="L23" s="17"/>
      <c r="M23" s="48"/>
      <c r="N23" s="49"/>
    </row>
    <row r="24" spans="2:14" ht="18" customHeight="1" x14ac:dyDescent="0.25">
      <c r="B24" s="8"/>
      <c r="C24" s="56"/>
      <c r="D24" s="57"/>
      <c r="E24" s="56"/>
      <c r="F24" s="57"/>
      <c r="G24" s="56"/>
      <c r="H24" s="57"/>
      <c r="I24" s="56"/>
      <c r="J24" s="71"/>
      <c r="K24" s="92"/>
      <c r="L24" s="17"/>
      <c r="M24" s="48"/>
      <c r="N24" s="49"/>
    </row>
    <row r="25" spans="2:14" ht="18" customHeight="1" x14ac:dyDescent="0.25">
      <c r="B25" s="6"/>
      <c r="C25" s="58"/>
      <c r="D25" s="59"/>
      <c r="E25" s="58"/>
      <c r="F25" s="59"/>
      <c r="G25" s="58"/>
      <c r="H25" s="59"/>
      <c r="I25" s="69"/>
      <c r="J25" s="70"/>
      <c r="K25" s="92"/>
      <c r="L25" s="17"/>
      <c r="M25" s="48"/>
      <c r="N25" s="49"/>
    </row>
    <row r="26" spans="2:14" ht="18" customHeight="1" x14ac:dyDescent="0.25">
      <c r="B26" s="8"/>
      <c r="C26" s="56"/>
      <c r="D26" s="57"/>
      <c r="E26" s="56"/>
      <c r="F26" s="57"/>
      <c r="G26" s="56"/>
      <c r="H26" s="57"/>
      <c r="I26" s="56"/>
      <c r="J26" s="71"/>
      <c r="K26" s="11"/>
      <c r="L26" s="17"/>
      <c r="M26" s="48"/>
      <c r="N26" s="49"/>
    </row>
    <row r="27" spans="2:14" ht="18" customHeight="1" x14ac:dyDescent="0.25">
      <c r="B27" s="6"/>
      <c r="C27" s="58"/>
      <c r="D27" s="59"/>
      <c r="E27" s="58"/>
      <c r="F27" s="59"/>
      <c r="G27" s="58"/>
      <c r="H27" s="59"/>
      <c r="I27" s="69"/>
      <c r="J27" s="70"/>
      <c r="K27" s="13"/>
      <c r="L27" s="19"/>
      <c r="M27" s="52"/>
      <c r="N27" s="53"/>
    </row>
    <row r="28" spans="2:14" ht="18" customHeight="1" x14ac:dyDescent="0.25">
      <c r="B28" s="8"/>
      <c r="C28" s="56"/>
      <c r="D28" s="57"/>
      <c r="E28" s="56"/>
      <c r="F28" s="57"/>
      <c r="G28" s="56"/>
      <c r="H28" s="57"/>
      <c r="I28" s="56"/>
      <c r="J28" s="71"/>
      <c r="K28" s="77" t="s">
        <v>15</v>
      </c>
      <c r="L28" s="16"/>
      <c r="M28" s="54"/>
      <c r="N28" s="55"/>
    </row>
    <row r="29" spans="2:14" ht="18" customHeight="1" x14ac:dyDescent="0.25">
      <c r="B29" s="6"/>
      <c r="C29" s="58"/>
      <c r="D29" s="59"/>
      <c r="E29" s="58"/>
      <c r="F29" s="59"/>
      <c r="G29" s="58"/>
      <c r="H29" s="59"/>
      <c r="I29" s="58"/>
      <c r="J29" s="64"/>
      <c r="K29" s="78"/>
      <c r="L29" s="17"/>
      <c r="M29" s="48"/>
      <c r="N29" s="49"/>
    </row>
    <row r="30" spans="2:14" ht="18" customHeight="1" x14ac:dyDescent="0.25">
      <c r="B30" s="8"/>
      <c r="C30" s="56"/>
      <c r="D30" s="57"/>
      <c r="E30" s="56"/>
      <c r="F30" s="57"/>
      <c r="G30" s="56"/>
      <c r="H30" s="57"/>
      <c r="I30" s="62"/>
      <c r="J30" s="63"/>
      <c r="K30" s="78"/>
      <c r="L30" s="17"/>
      <c r="M30" s="48"/>
      <c r="N30" s="49"/>
    </row>
    <row r="31" spans="2:14" ht="18" customHeight="1" x14ac:dyDescent="0.25">
      <c r="B31" s="6"/>
      <c r="C31" s="58"/>
      <c r="D31" s="59"/>
      <c r="E31" s="58"/>
      <c r="F31" s="59"/>
      <c r="G31" s="58"/>
      <c r="H31" s="59"/>
      <c r="I31" s="58"/>
      <c r="J31" s="64"/>
      <c r="K31" s="14"/>
      <c r="L31" s="17"/>
      <c r="M31" s="48"/>
      <c r="N31" s="49"/>
    </row>
    <row r="32" spans="2:14" ht="18" customHeight="1" x14ac:dyDescent="0.25">
      <c r="B32" s="8"/>
      <c r="C32" s="56"/>
      <c r="D32" s="57"/>
      <c r="E32" s="56"/>
      <c r="F32" s="57"/>
      <c r="G32" s="56"/>
      <c r="H32" s="57"/>
      <c r="I32" s="65"/>
      <c r="J32" s="66"/>
      <c r="K32" s="14"/>
      <c r="L32" s="17"/>
      <c r="M32" s="48"/>
      <c r="N32" s="49"/>
    </row>
    <row r="33" spans="2:14" ht="18" customHeight="1" x14ac:dyDescent="0.25">
      <c r="B33" s="7"/>
      <c r="C33" s="60"/>
      <c r="D33" s="61"/>
      <c r="E33" s="60"/>
      <c r="F33" s="61"/>
      <c r="G33" s="60"/>
      <c r="H33" s="61"/>
      <c r="I33" s="67"/>
      <c r="J33" s="68"/>
      <c r="K33" s="15"/>
      <c r="L33" s="20"/>
      <c r="M33" s="50"/>
      <c r="N33" s="51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43" priority="3" stopIfTrue="1">
      <formula>DAY(C4)&gt;8</formula>
    </cfRule>
  </conditionalFormatting>
  <conditionalFormatting sqref="C8:I10">
    <cfRule type="expression" dxfId="42" priority="2" stopIfTrue="1">
      <formula>AND(DAY(C8)&gt;=1,DAY(C8)&lt;=15)</formula>
    </cfRule>
  </conditionalFormatting>
  <conditionalFormatting sqref="C4:I9">
    <cfRule type="expression" dxfId="41" priority="4">
      <formula>VLOOKUP(DAY(C4),DíasDeTareas,1,FALSE)=DAY(C4)</formula>
    </cfRule>
  </conditionalFormatting>
  <conditionalFormatting sqref="B14:J33">
    <cfRule type="expression" dxfId="4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B15" sqref="B15:J31"/>
    </sheetView>
  </sheetViews>
  <sheetFormatPr baseColWidth="10" defaultColWidth="8.6640625" defaultRowHeight="16.5" customHeight="1" x14ac:dyDescent="0.25"/>
  <cols>
    <col min="1" max="1" width="2.33203125" style="1" customWidth="1"/>
    <col min="2" max="2" width="12.6640625" style="1" customWidth="1"/>
    <col min="3" max="10" width="6.6640625" style="1" customWidth="1"/>
    <col min="11" max="11" width="7.33203125" style="1" customWidth="1"/>
    <col min="12" max="12" width="3.88671875" customWidth="1"/>
    <col min="13" max="13" width="51.44140625" style="1" customWidth="1"/>
    <col min="14" max="14" width="10.6640625" style="1" customWidth="1"/>
    <col min="15" max="15" width="2.33203125" customWidth="1"/>
    <col min="16" max="22" width="8.88671875" customWidth="1"/>
    <col min="42" max="16384" width="8.6640625" style="1"/>
  </cols>
  <sheetData>
    <row r="1" spans="1:14" ht="11.25" customHeight="1" x14ac:dyDescent="0.25"/>
    <row r="2" spans="1:14" ht="18" customHeight="1" x14ac:dyDescent="0.25">
      <c r="A2" s="4"/>
      <c r="B2" s="42" t="s">
        <v>20</v>
      </c>
      <c r="C2" s="21"/>
      <c r="D2" s="21"/>
      <c r="E2" s="21"/>
      <c r="F2" s="21"/>
      <c r="G2" s="21"/>
      <c r="H2" s="21"/>
      <c r="I2" s="21"/>
      <c r="J2" s="22"/>
      <c r="K2" s="82" t="s">
        <v>3</v>
      </c>
      <c r="L2" s="83">
        <v>2013</v>
      </c>
      <c r="M2" s="83"/>
      <c r="N2" s="25"/>
    </row>
    <row r="3" spans="1:14" ht="21" customHeight="1" x14ac:dyDescent="0.25">
      <c r="A3" s="4"/>
      <c r="B3" s="4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84"/>
      <c r="L3" s="85"/>
      <c r="M3" s="85"/>
      <c r="N3" s="26"/>
    </row>
    <row r="4" spans="1:14" ht="18" customHeight="1" x14ac:dyDescent="0.25">
      <c r="A4" s="4"/>
      <c r="B4" s="43"/>
      <c r="C4" s="10">
        <f>IF(DAY(MayDom1)=1,MayDom1-6,MayDom1+1)</f>
        <v>43220</v>
      </c>
      <c r="D4" s="10">
        <f>IF(DAY(MayDom1)=1,MayDom1-5,MayDom1+2)</f>
        <v>43221</v>
      </c>
      <c r="E4" s="10">
        <f>IF(DAY(MayDom1)=1,MayDom1-4,MayDom1+3)</f>
        <v>43222</v>
      </c>
      <c r="F4" s="10">
        <f>IF(DAY(MayDom1)=1,MayDom1-3,MayDom1+4)</f>
        <v>43223</v>
      </c>
      <c r="G4" s="10">
        <f>IF(DAY(MayDom1)=1,MayDom1-2,MayDom1+5)</f>
        <v>43224</v>
      </c>
      <c r="H4" s="10">
        <f>IF(DAY(MayDom1)=1,MayDom1-1,MayDom1+6)</f>
        <v>43225</v>
      </c>
      <c r="I4" s="10">
        <f>IF(DAY(MayDom1)=1,MayDom1,MayDom1+7)</f>
        <v>43226</v>
      </c>
      <c r="J4" s="5"/>
      <c r="K4" s="86" t="s">
        <v>11</v>
      </c>
      <c r="L4" s="16"/>
      <c r="M4" s="87"/>
      <c r="N4" s="88"/>
    </row>
    <row r="5" spans="1:14" ht="18" customHeight="1" x14ac:dyDescent="0.25">
      <c r="A5" s="4"/>
      <c r="B5" s="43"/>
      <c r="C5" s="10">
        <f>IF(DAY(MayDom1)=1,MayDom1+1,MayDom1+8)</f>
        <v>43227</v>
      </c>
      <c r="D5" s="10">
        <f>IF(DAY(MayDom1)=1,MayDom1+2,MayDom1+9)</f>
        <v>43228</v>
      </c>
      <c r="E5" s="10">
        <f>IF(DAY(MayDom1)=1,MayDom1+3,MayDom1+10)</f>
        <v>43229</v>
      </c>
      <c r="F5" s="10">
        <f>IF(DAY(MayDom1)=1,MayDom1+4,MayDom1+11)</f>
        <v>43230</v>
      </c>
      <c r="G5" s="10">
        <f>IF(DAY(MayDom1)=1,MayDom1+5,MayDom1+12)</f>
        <v>43231</v>
      </c>
      <c r="H5" s="10">
        <f>IF(DAY(MayDom1)=1,MayDom1+6,MayDom1+13)</f>
        <v>43232</v>
      </c>
      <c r="I5" s="10">
        <f>IF(DAY(MayDom1)=1,MayDom1+7,MayDom1+14)</f>
        <v>43233</v>
      </c>
      <c r="J5" s="5"/>
      <c r="K5" s="78"/>
      <c r="L5" s="17"/>
      <c r="M5" s="48"/>
      <c r="N5" s="49"/>
    </row>
    <row r="6" spans="1:14" ht="18" customHeight="1" x14ac:dyDescent="0.25">
      <c r="A6" s="4"/>
      <c r="B6" s="43"/>
      <c r="C6" s="10">
        <f>IF(DAY(MayDom1)=1,MayDom1+8,MayDom1+15)</f>
        <v>43234</v>
      </c>
      <c r="D6" s="10">
        <f>IF(DAY(MayDom1)=1,MayDom1+9,MayDom1+16)</f>
        <v>43235</v>
      </c>
      <c r="E6" s="10">
        <f>IF(DAY(MayDom1)=1,MayDom1+10,MayDom1+17)</f>
        <v>43236</v>
      </c>
      <c r="F6" s="10">
        <f>IF(DAY(MayDom1)=1,MayDom1+11,MayDom1+18)</f>
        <v>43237</v>
      </c>
      <c r="G6" s="10">
        <f>IF(DAY(MayDom1)=1,MayDom1+12,MayDom1+19)</f>
        <v>43238</v>
      </c>
      <c r="H6" s="10">
        <f>IF(DAY(MayDom1)=1,MayDom1+13,MayDom1+20)</f>
        <v>43239</v>
      </c>
      <c r="I6" s="10">
        <f>IF(DAY(MayDom1)=1,MayDom1+14,MayDom1+21)</f>
        <v>43240</v>
      </c>
      <c r="J6" s="5"/>
      <c r="K6" s="78"/>
      <c r="L6" s="17"/>
      <c r="M6" s="48"/>
      <c r="N6" s="49"/>
    </row>
    <row r="7" spans="1:14" ht="18" customHeight="1" x14ac:dyDescent="0.25">
      <c r="A7" s="4"/>
      <c r="B7" s="43"/>
      <c r="C7" s="10">
        <f>IF(DAY(MayDom1)=1,MayDom1+15,MayDom1+22)</f>
        <v>43241</v>
      </c>
      <c r="D7" s="10">
        <f>IF(DAY(MayDom1)=1,MayDom1+16,MayDom1+23)</f>
        <v>43242</v>
      </c>
      <c r="E7" s="10">
        <f>IF(DAY(MayDom1)=1,MayDom1+17,MayDom1+24)</f>
        <v>43243</v>
      </c>
      <c r="F7" s="10">
        <f>IF(DAY(MayDom1)=1,MayDom1+18,MayDom1+25)</f>
        <v>43244</v>
      </c>
      <c r="G7" s="10">
        <f>IF(DAY(MayDom1)=1,MayDom1+19,MayDom1+26)</f>
        <v>43245</v>
      </c>
      <c r="H7" s="10">
        <f>IF(DAY(MayDom1)=1,MayDom1+20,MayDom1+27)</f>
        <v>43246</v>
      </c>
      <c r="I7" s="10">
        <f>IF(DAY(MayDom1)=1,MayDom1+21,MayDom1+28)</f>
        <v>43247</v>
      </c>
      <c r="J7" s="5"/>
      <c r="K7" s="11"/>
      <c r="L7" s="17"/>
      <c r="M7" s="48"/>
      <c r="N7" s="49"/>
    </row>
    <row r="8" spans="1:14" ht="18.75" customHeight="1" x14ac:dyDescent="0.25">
      <c r="A8" s="4"/>
      <c r="B8" s="43"/>
      <c r="C8" s="10">
        <f>IF(DAY(MayDom1)=1,MayDom1+22,MayDom1+29)</f>
        <v>43248</v>
      </c>
      <c r="D8" s="10">
        <f>IF(DAY(MayDom1)=1,MayDom1+23,MayDom1+30)</f>
        <v>43249</v>
      </c>
      <c r="E8" s="10">
        <f>IF(DAY(MayDom1)=1,MayDom1+24,MayDom1+31)</f>
        <v>43250</v>
      </c>
      <c r="F8" s="10">
        <f>IF(DAY(MayDom1)=1,MayDom1+25,MayDom1+32)</f>
        <v>43251</v>
      </c>
      <c r="G8" s="10">
        <f>IF(DAY(MayDom1)=1,MayDom1+26,MayDom1+33)</f>
        <v>43252</v>
      </c>
      <c r="H8" s="10">
        <f>IF(DAY(MayDom1)=1,MayDom1+27,MayDom1+34)</f>
        <v>43253</v>
      </c>
      <c r="I8" s="10">
        <f>IF(DAY(MayDom1)=1,MayDom1+28,MayDom1+35)</f>
        <v>43254</v>
      </c>
      <c r="J8" s="5"/>
      <c r="K8" s="11"/>
      <c r="L8" s="17"/>
      <c r="M8" s="48"/>
      <c r="N8" s="49"/>
    </row>
    <row r="9" spans="1:14" ht="18" customHeight="1" x14ac:dyDescent="0.25">
      <c r="A9" s="4"/>
      <c r="B9" s="43"/>
      <c r="C9" s="10">
        <f>IF(DAY(MayDom1)=1,MayDom1+29,MayDom1+36)</f>
        <v>43255</v>
      </c>
      <c r="D9" s="10">
        <f>IF(DAY(MayDom1)=1,MayDom1+30,MayDom1+37)</f>
        <v>43256</v>
      </c>
      <c r="E9" s="10">
        <f>IF(DAY(MayDom1)=1,MayDom1+31,MayDom1+38)</f>
        <v>43257</v>
      </c>
      <c r="F9" s="10">
        <f>IF(DAY(MayDom1)=1,MayDom1+32,MayDom1+39)</f>
        <v>43258</v>
      </c>
      <c r="G9" s="10">
        <f>IF(DAY(MayDom1)=1,MayDom1+33,MayDom1+40)</f>
        <v>43259</v>
      </c>
      <c r="H9" s="10">
        <f>IF(DAY(MayDom1)=1,MayDom1+34,MayDom1+41)</f>
        <v>43260</v>
      </c>
      <c r="I9" s="10">
        <f>IF(DAY(MayDom1)=1,MayDom1+35,MayDom1+42)</f>
        <v>43261</v>
      </c>
      <c r="J9" s="5"/>
      <c r="K9" s="12"/>
      <c r="L9" s="18"/>
      <c r="M9" s="52"/>
      <c r="N9" s="53"/>
    </row>
    <row r="10" spans="1:14" ht="18" customHeight="1" x14ac:dyDescent="0.25">
      <c r="A10" s="4"/>
      <c r="B10" s="44"/>
      <c r="C10" s="23"/>
      <c r="D10" s="23"/>
      <c r="E10" s="23"/>
      <c r="F10" s="23"/>
      <c r="G10" s="23"/>
      <c r="H10" s="23"/>
      <c r="I10" s="23"/>
      <c r="J10" s="24"/>
      <c r="K10" s="77" t="s">
        <v>12</v>
      </c>
      <c r="L10" s="16"/>
      <c r="M10" s="54"/>
      <c r="N10" s="55"/>
    </row>
    <row r="11" spans="1:14" ht="18" customHeight="1" x14ac:dyDescent="0.25">
      <c r="A11" s="4"/>
      <c r="B11" s="45" t="s">
        <v>10</v>
      </c>
      <c r="C11" s="46"/>
      <c r="D11" s="46"/>
      <c r="E11" s="46"/>
      <c r="F11" s="46"/>
      <c r="G11" s="46"/>
      <c r="H11" s="46"/>
      <c r="I11" s="46"/>
      <c r="J11" s="47"/>
      <c r="K11" s="78"/>
      <c r="L11" s="17"/>
      <c r="M11" s="48"/>
      <c r="N11" s="49"/>
    </row>
    <row r="12" spans="1:14" ht="18" customHeight="1" x14ac:dyDescent="0.25">
      <c r="A12" s="4"/>
      <c r="B12" s="45"/>
      <c r="C12" s="46"/>
      <c r="D12" s="46"/>
      <c r="E12" s="46"/>
      <c r="F12" s="46"/>
      <c r="G12" s="46"/>
      <c r="H12" s="46"/>
      <c r="I12" s="46"/>
      <c r="J12" s="47"/>
      <c r="K12" s="78"/>
      <c r="L12" s="17"/>
      <c r="M12" s="48"/>
      <c r="N12" s="49"/>
    </row>
    <row r="13" spans="1:14" ht="18" customHeight="1" x14ac:dyDescent="0.25">
      <c r="B13" s="3" t="s">
        <v>11</v>
      </c>
      <c r="C13" s="79" t="s">
        <v>12</v>
      </c>
      <c r="D13" s="81"/>
      <c r="E13" s="79" t="s">
        <v>13</v>
      </c>
      <c r="F13" s="81"/>
      <c r="G13" s="79" t="s">
        <v>14</v>
      </c>
      <c r="H13" s="81"/>
      <c r="I13" s="79" t="s">
        <v>15</v>
      </c>
      <c r="J13" s="80"/>
      <c r="K13" s="11"/>
      <c r="L13" s="17"/>
      <c r="M13" s="48"/>
      <c r="N13" s="49"/>
    </row>
    <row r="14" spans="1:14" ht="18" customHeight="1" x14ac:dyDescent="0.25">
      <c r="B14" s="8" t="s">
        <v>2</v>
      </c>
      <c r="C14" s="56"/>
      <c r="D14" s="57"/>
      <c r="E14" s="56" t="s">
        <v>2</v>
      </c>
      <c r="F14" s="57"/>
      <c r="G14" s="56"/>
      <c r="H14" s="57"/>
      <c r="I14" s="56" t="s">
        <v>2</v>
      </c>
      <c r="J14" s="71"/>
      <c r="K14" s="11"/>
      <c r="L14" s="17"/>
      <c r="M14" s="48"/>
      <c r="N14" s="49"/>
    </row>
    <row r="15" spans="1:14" ht="18" customHeight="1" x14ac:dyDescent="0.25">
      <c r="B15" s="6"/>
      <c r="C15" s="58"/>
      <c r="D15" s="59"/>
      <c r="E15" s="58"/>
      <c r="F15" s="59"/>
      <c r="G15" s="58"/>
      <c r="H15" s="59"/>
      <c r="I15" s="69"/>
      <c r="J15" s="70"/>
      <c r="K15" s="13"/>
      <c r="L15" s="19"/>
      <c r="M15" s="52"/>
      <c r="N15" s="53"/>
    </row>
    <row r="16" spans="1:14" ht="18" customHeight="1" x14ac:dyDescent="0.25">
      <c r="B16" s="8"/>
      <c r="C16" s="56"/>
      <c r="D16" s="57"/>
      <c r="E16" s="56"/>
      <c r="F16" s="57"/>
      <c r="G16" s="56"/>
      <c r="H16" s="57"/>
      <c r="I16" s="65"/>
      <c r="J16" s="66"/>
      <c r="K16" s="91" t="s">
        <v>13</v>
      </c>
      <c r="L16" s="16"/>
      <c r="M16" s="54"/>
      <c r="N16" s="55"/>
    </row>
    <row r="17" spans="2:14" ht="18" customHeight="1" x14ac:dyDescent="0.25">
      <c r="B17" s="6"/>
      <c r="C17" s="58"/>
      <c r="D17" s="59"/>
      <c r="E17" s="58"/>
      <c r="F17" s="59"/>
      <c r="G17" s="58"/>
      <c r="H17" s="59"/>
      <c r="I17" s="69"/>
      <c r="J17" s="70"/>
      <c r="K17" s="92"/>
      <c r="L17" s="17"/>
      <c r="M17" s="48"/>
      <c r="N17" s="49"/>
    </row>
    <row r="18" spans="2:14" ht="18" customHeight="1" x14ac:dyDescent="0.25">
      <c r="B18" s="9"/>
      <c r="C18" s="74"/>
      <c r="D18" s="75"/>
      <c r="E18" s="74"/>
      <c r="F18" s="75"/>
      <c r="G18" s="74"/>
      <c r="H18" s="75"/>
      <c r="I18" s="74"/>
      <c r="J18" s="76"/>
      <c r="K18" s="92"/>
      <c r="L18" s="17"/>
      <c r="M18" s="48"/>
      <c r="N18" s="49"/>
    </row>
    <row r="19" spans="2:14" ht="18" customHeight="1" x14ac:dyDescent="0.25">
      <c r="B19" s="6"/>
      <c r="C19" s="58"/>
      <c r="D19" s="59"/>
      <c r="E19" s="58"/>
      <c r="F19" s="59"/>
      <c r="G19" s="58"/>
      <c r="H19" s="59"/>
      <c r="I19" s="69"/>
      <c r="J19" s="70"/>
      <c r="K19" s="11"/>
      <c r="L19" s="17"/>
      <c r="M19" s="48"/>
      <c r="N19" s="49"/>
    </row>
    <row r="20" spans="2:14" ht="18" customHeight="1" x14ac:dyDescent="0.25">
      <c r="B20" s="8"/>
      <c r="C20" s="56"/>
      <c r="D20" s="57"/>
      <c r="E20" s="56"/>
      <c r="F20" s="57"/>
      <c r="G20" s="56"/>
      <c r="H20" s="57"/>
      <c r="I20" s="56"/>
      <c r="J20" s="71"/>
      <c r="K20" s="11"/>
      <c r="L20" s="17"/>
      <c r="M20" s="48"/>
      <c r="N20" s="49"/>
    </row>
    <row r="21" spans="2:14" ht="18" customHeight="1" x14ac:dyDescent="0.25">
      <c r="B21" s="6"/>
      <c r="C21" s="58"/>
      <c r="D21" s="59"/>
      <c r="E21" s="58"/>
      <c r="F21" s="59"/>
      <c r="G21" s="58"/>
      <c r="H21" s="59"/>
      <c r="I21" s="72"/>
      <c r="J21" s="73"/>
      <c r="K21" s="13"/>
      <c r="L21" s="19"/>
      <c r="M21" s="52"/>
      <c r="N21" s="53"/>
    </row>
    <row r="22" spans="2:14" ht="18" customHeight="1" x14ac:dyDescent="0.25">
      <c r="B22" s="8"/>
      <c r="C22" s="56"/>
      <c r="D22" s="57"/>
      <c r="E22" s="56"/>
      <c r="F22" s="57"/>
      <c r="G22" s="56"/>
      <c r="H22" s="57"/>
      <c r="I22" s="56"/>
      <c r="J22" s="71"/>
      <c r="K22" s="91" t="s">
        <v>14</v>
      </c>
      <c r="L22" s="16"/>
      <c r="M22" s="54"/>
      <c r="N22" s="55"/>
    </row>
    <row r="23" spans="2:14" ht="18" customHeight="1" x14ac:dyDescent="0.25">
      <c r="B23" s="6"/>
      <c r="C23" s="58"/>
      <c r="D23" s="59"/>
      <c r="E23" s="58"/>
      <c r="F23" s="59"/>
      <c r="G23" s="58"/>
      <c r="H23" s="59"/>
      <c r="I23" s="69"/>
      <c r="J23" s="70"/>
      <c r="K23" s="92"/>
      <c r="L23" s="17"/>
      <c r="M23" s="48"/>
      <c r="N23" s="49"/>
    </row>
    <row r="24" spans="2:14" ht="18" customHeight="1" x14ac:dyDescent="0.25">
      <c r="B24" s="8"/>
      <c r="C24" s="56"/>
      <c r="D24" s="57"/>
      <c r="E24" s="56"/>
      <c r="F24" s="57"/>
      <c r="G24" s="56"/>
      <c r="H24" s="57"/>
      <c r="I24" s="56"/>
      <c r="J24" s="71"/>
      <c r="K24" s="92"/>
      <c r="L24" s="17"/>
      <c r="M24" s="48"/>
      <c r="N24" s="49"/>
    </row>
    <row r="25" spans="2:14" ht="18" customHeight="1" x14ac:dyDescent="0.25">
      <c r="B25" s="6"/>
      <c r="C25" s="58"/>
      <c r="D25" s="59"/>
      <c r="E25" s="58"/>
      <c r="F25" s="59"/>
      <c r="G25" s="58"/>
      <c r="H25" s="59"/>
      <c r="I25" s="69"/>
      <c r="J25" s="70"/>
      <c r="K25" s="92"/>
      <c r="L25" s="17"/>
      <c r="M25" s="48"/>
      <c r="N25" s="49"/>
    </row>
    <row r="26" spans="2:14" ht="18" customHeight="1" x14ac:dyDescent="0.25">
      <c r="B26" s="8"/>
      <c r="C26" s="56"/>
      <c r="D26" s="57"/>
      <c r="E26" s="56"/>
      <c r="F26" s="57"/>
      <c r="G26" s="56"/>
      <c r="H26" s="57"/>
      <c r="I26" s="56"/>
      <c r="J26" s="71"/>
      <c r="K26" s="11"/>
      <c r="L26" s="17"/>
      <c r="M26" s="48"/>
      <c r="N26" s="49"/>
    </row>
    <row r="27" spans="2:14" ht="18" customHeight="1" x14ac:dyDescent="0.25">
      <c r="B27" s="6"/>
      <c r="C27" s="58"/>
      <c r="D27" s="59"/>
      <c r="E27" s="58"/>
      <c r="F27" s="59"/>
      <c r="G27" s="58"/>
      <c r="H27" s="59"/>
      <c r="I27" s="69"/>
      <c r="J27" s="70"/>
      <c r="K27" s="13"/>
      <c r="L27" s="19"/>
      <c r="M27" s="52"/>
      <c r="N27" s="53"/>
    </row>
    <row r="28" spans="2:14" ht="18" customHeight="1" x14ac:dyDescent="0.25">
      <c r="B28" s="8"/>
      <c r="C28" s="56"/>
      <c r="D28" s="57"/>
      <c r="E28" s="56"/>
      <c r="F28" s="57"/>
      <c r="G28" s="56"/>
      <c r="H28" s="57"/>
      <c r="I28" s="56"/>
      <c r="J28" s="71"/>
      <c r="K28" s="77" t="s">
        <v>15</v>
      </c>
      <c r="L28" s="16"/>
      <c r="M28" s="54"/>
      <c r="N28" s="55"/>
    </row>
    <row r="29" spans="2:14" ht="18" customHeight="1" x14ac:dyDescent="0.25">
      <c r="B29" s="6"/>
      <c r="C29" s="58"/>
      <c r="D29" s="59"/>
      <c r="E29" s="58"/>
      <c r="F29" s="59"/>
      <c r="G29" s="58"/>
      <c r="H29" s="59"/>
      <c r="I29" s="58"/>
      <c r="J29" s="64"/>
      <c r="K29" s="78"/>
      <c r="L29" s="17"/>
      <c r="M29" s="48"/>
      <c r="N29" s="49"/>
    </row>
    <row r="30" spans="2:14" ht="18" customHeight="1" x14ac:dyDescent="0.25">
      <c r="B30" s="8"/>
      <c r="C30" s="56"/>
      <c r="D30" s="57"/>
      <c r="E30" s="56"/>
      <c r="F30" s="57"/>
      <c r="G30" s="56"/>
      <c r="H30" s="57"/>
      <c r="I30" s="62"/>
      <c r="J30" s="63"/>
      <c r="K30" s="78"/>
      <c r="L30" s="17"/>
      <c r="M30" s="48"/>
      <c r="N30" s="49"/>
    </row>
    <row r="31" spans="2:14" ht="18" customHeight="1" x14ac:dyDescent="0.25">
      <c r="B31" s="6"/>
      <c r="C31" s="58"/>
      <c r="D31" s="59"/>
      <c r="E31" s="58"/>
      <c r="F31" s="59"/>
      <c r="G31" s="58"/>
      <c r="H31" s="59"/>
      <c r="I31" s="58"/>
      <c r="J31" s="64"/>
      <c r="K31" s="14"/>
      <c r="L31" s="17"/>
      <c r="M31" s="48"/>
      <c r="N31" s="49"/>
    </row>
    <row r="32" spans="2:14" ht="18" customHeight="1" x14ac:dyDescent="0.25">
      <c r="B32" s="8"/>
      <c r="C32" s="56"/>
      <c r="D32" s="57"/>
      <c r="E32" s="56"/>
      <c r="F32" s="57"/>
      <c r="G32" s="56"/>
      <c r="H32" s="57"/>
      <c r="I32" s="65"/>
      <c r="J32" s="66"/>
      <c r="K32" s="14"/>
      <c r="L32" s="17"/>
      <c r="M32" s="48"/>
      <c r="N32" s="49"/>
    </row>
    <row r="33" spans="2:14" ht="18" customHeight="1" x14ac:dyDescent="0.25">
      <c r="B33" s="7"/>
      <c r="C33" s="60"/>
      <c r="D33" s="61"/>
      <c r="E33" s="60"/>
      <c r="F33" s="61"/>
      <c r="G33" s="60"/>
      <c r="H33" s="61"/>
      <c r="I33" s="67"/>
      <c r="J33" s="68"/>
      <c r="K33" s="15"/>
      <c r="L33" s="20"/>
      <c r="M33" s="50"/>
      <c r="N33" s="51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9" priority="3" stopIfTrue="1">
      <formula>DAY(C4)&gt;8</formula>
    </cfRule>
  </conditionalFormatting>
  <conditionalFormatting sqref="C8:I10">
    <cfRule type="expression" dxfId="38" priority="2" stopIfTrue="1">
      <formula>AND(DAY(C8)&gt;=1,DAY(C8)&lt;=15)</formula>
    </cfRule>
  </conditionalFormatting>
  <conditionalFormatting sqref="C4:I9">
    <cfRule type="expression" dxfId="37" priority="4">
      <formula>VLOOKUP(DAY(C4),DíasDeTareas,1,FALSE)=DAY(C4)</formula>
    </cfRule>
  </conditionalFormatting>
  <conditionalFormatting sqref="B14:J33">
    <cfRule type="expression" dxfId="3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M25" sqref="M24:N25"/>
    </sheetView>
  </sheetViews>
  <sheetFormatPr baseColWidth="10" defaultColWidth="8.6640625" defaultRowHeight="16.5" customHeight="1" x14ac:dyDescent="0.25"/>
  <cols>
    <col min="1" max="1" width="2.33203125" style="1" customWidth="1"/>
    <col min="2" max="2" width="12.6640625" style="1" customWidth="1"/>
    <col min="3" max="10" width="6.6640625" style="1" customWidth="1"/>
    <col min="11" max="11" width="7.33203125" style="1" customWidth="1"/>
    <col min="12" max="12" width="3.88671875" customWidth="1"/>
    <col min="13" max="13" width="51.44140625" style="1" customWidth="1"/>
    <col min="14" max="14" width="10.6640625" style="1" customWidth="1"/>
    <col min="15" max="15" width="2.33203125" customWidth="1"/>
    <col min="16" max="22" width="8.88671875" customWidth="1"/>
    <col min="42" max="16384" width="8.6640625" style="1"/>
  </cols>
  <sheetData>
    <row r="1" spans="1:14" ht="11.25" customHeight="1" x14ac:dyDescent="0.25"/>
    <row r="2" spans="1:14" ht="18" customHeight="1" x14ac:dyDescent="0.25">
      <c r="A2" s="4"/>
      <c r="B2" s="42" t="s">
        <v>19</v>
      </c>
      <c r="C2" s="21"/>
      <c r="D2" s="21"/>
      <c r="E2" s="21"/>
      <c r="F2" s="21"/>
      <c r="G2" s="21"/>
      <c r="H2" s="21"/>
      <c r="I2" s="21"/>
      <c r="J2" s="22"/>
      <c r="K2" s="82" t="s">
        <v>3</v>
      </c>
      <c r="L2" s="83">
        <v>2013</v>
      </c>
      <c r="M2" s="83"/>
      <c r="N2" s="25"/>
    </row>
    <row r="3" spans="1:14" ht="21" customHeight="1" x14ac:dyDescent="0.25">
      <c r="A3" s="4"/>
      <c r="B3" s="4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84"/>
      <c r="L3" s="85"/>
      <c r="M3" s="85"/>
      <c r="N3" s="26"/>
    </row>
    <row r="4" spans="1:14" ht="18" customHeight="1" x14ac:dyDescent="0.25">
      <c r="A4" s="4"/>
      <c r="B4" s="43"/>
      <c r="C4" s="10">
        <f>IF(DAY(JunDom1)=1,JunDom1-6,JunDom1+1)</f>
        <v>43248</v>
      </c>
      <c r="D4" s="10">
        <f>IF(DAY(JunDom1)=1,JunDom1-5,JunDom1+2)</f>
        <v>43249</v>
      </c>
      <c r="E4" s="10">
        <f>IF(DAY(JunDom1)=1,JunDom1-4,JunDom1+3)</f>
        <v>43250</v>
      </c>
      <c r="F4" s="10">
        <f>IF(DAY(JunDom1)=1,JunDom1-3,JunDom1+4)</f>
        <v>43251</v>
      </c>
      <c r="G4" s="10">
        <f>IF(DAY(JunDom1)=1,JunDom1-2,JunDom1+5)</f>
        <v>43252</v>
      </c>
      <c r="H4" s="10">
        <f>IF(DAY(JunDom1)=1,JunDom1-1,JunDom1+6)</f>
        <v>43253</v>
      </c>
      <c r="I4" s="10">
        <f>IF(DAY(JunDom1)=1,JunDom1,JunDom1+7)</f>
        <v>43254</v>
      </c>
      <c r="J4" s="5"/>
      <c r="K4" s="86" t="s">
        <v>11</v>
      </c>
      <c r="L4" s="16"/>
      <c r="M4" s="87"/>
      <c r="N4" s="88"/>
    </row>
    <row r="5" spans="1:14" ht="18" customHeight="1" x14ac:dyDescent="0.25">
      <c r="A5" s="4"/>
      <c r="B5" s="43"/>
      <c r="C5" s="10">
        <f>IF(DAY(JunDom1)=1,JunDom1+1,JunDom1+8)</f>
        <v>43255</v>
      </c>
      <c r="D5" s="10">
        <f>IF(DAY(JunDom1)=1,JunDom1+2,JunDom1+9)</f>
        <v>43256</v>
      </c>
      <c r="E5" s="10">
        <f>IF(DAY(JunDom1)=1,JunDom1+3,JunDom1+10)</f>
        <v>43257</v>
      </c>
      <c r="F5" s="10">
        <f>IF(DAY(JunDom1)=1,JunDom1+4,JunDom1+11)</f>
        <v>43258</v>
      </c>
      <c r="G5" s="10">
        <f>IF(DAY(JunDom1)=1,JunDom1+5,JunDom1+12)</f>
        <v>43259</v>
      </c>
      <c r="H5" s="10">
        <f>IF(DAY(JunDom1)=1,JunDom1+6,JunDom1+13)</f>
        <v>43260</v>
      </c>
      <c r="I5" s="10">
        <f>IF(DAY(JunDom1)=1,JunDom1+7,JunDom1+14)</f>
        <v>43261</v>
      </c>
      <c r="J5" s="5"/>
      <c r="K5" s="78"/>
      <c r="L5" s="17"/>
      <c r="M5" s="48"/>
      <c r="N5" s="49"/>
    </row>
    <row r="6" spans="1:14" ht="18" customHeight="1" x14ac:dyDescent="0.25">
      <c r="A6" s="4"/>
      <c r="B6" s="43"/>
      <c r="C6" s="10">
        <f>IF(DAY(JunDom1)=1,JunDom1+8,JunDom1+15)</f>
        <v>43262</v>
      </c>
      <c r="D6" s="10">
        <f>IF(DAY(JunDom1)=1,JunDom1+9,JunDom1+16)</f>
        <v>43263</v>
      </c>
      <c r="E6" s="10">
        <f>IF(DAY(JunDom1)=1,JunDom1+10,JunDom1+17)</f>
        <v>43264</v>
      </c>
      <c r="F6" s="10">
        <f>IF(DAY(JunDom1)=1,JunDom1+11,JunDom1+18)</f>
        <v>43265</v>
      </c>
      <c r="G6" s="10">
        <f>IF(DAY(JunDom1)=1,JunDom1+12,JunDom1+19)</f>
        <v>43266</v>
      </c>
      <c r="H6" s="10">
        <f>IF(DAY(JunDom1)=1,JunDom1+13,JunDom1+20)</f>
        <v>43267</v>
      </c>
      <c r="I6" s="10">
        <f>IF(DAY(JunDom1)=1,JunDom1+14,JunDom1+21)</f>
        <v>43268</v>
      </c>
      <c r="J6" s="5"/>
      <c r="K6" s="78"/>
      <c r="L6" s="17"/>
      <c r="M6" s="48"/>
      <c r="N6" s="49"/>
    </row>
    <row r="7" spans="1:14" ht="18" customHeight="1" x14ac:dyDescent="0.25">
      <c r="A7" s="4"/>
      <c r="B7" s="43"/>
      <c r="C7" s="10">
        <f>IF(DAY(JunDom1)=1,JunDom1+15,JunDom1+22)</f>
        <v>43269</v>
      </c>
      <c r="D7" s="10">
        <f>IF(DAY(JunDom1)=1,JunDom1+16,JunDom1+23)</f>
        <v>43270</v>
      </c>
      <c r="E7" s="10">
        <f>IF(DAY(JunDom1)=1,JunDom1+17,JunDom1+24)</f>
        <v>43271</v>
      </c>
      <c r="F7" s="10">
        <f>IF(DAY(JunDom1)=1,JunDom1+18,JunDom1+25)</f>
        <v>43272</v>
      </c>
      <c r="G7" s="10">
        <f>IF(DAY(JunDom1)=1,JunDom1+19,JunDom1+26)</f>
        <v>43273</v>
      </c>
      <c r="H7" s="10">
        <f>IF(DAY(JunDom1)=1,JunDom1+20,JunDom1+27)</f>
        <v>43274</v>
      </c>
      <c r="I7" s="10">
        <f>IF(DAY(JunDom1)=1,JunDom1+21,JunDom1+28)</f>
        <v>43275</v>
      </c>
      <c r="J7" s="5"/>
      <c r="K7" s="11"/>
      <c r="L7" s="17"/>
      <c r="M7" s="48"/>
      <c r="N7" s="49"/>
    </row>
    <row r="8" spans="1:14" ht="18.75" customHeight="1" x14ac:dyDescent="0.25">
      <c r="A8" s="4"/>
      <c r="B8" s="43"/>
      <c r="C8" s="10">
        <f>IF(DAY(JunDom1)=1,JunDom1+22,JunDom1+29)</f>
        <v>43276</v>
      </c>
      <c r="D8" s="10">
        <f>IF(DAY(JunDom1)=1,JunDom1+23,JunDom1+30)</f>
        <v>43277</v>
      </c>
      <c r="E8" s="10">
        <f>IF(DAY(JunDom1)=1,JunDom1+24,JunDom1+31)</f>
        <v>43278</v>
      </c>
      <c r="F8" s="10">
        <f>IF(DAY(JunDom1)=1,JunDom1+25,JunDom1+32)</f>
        <v>43279</v>
      </c>
      <c r="G8" s="10">
        <f>IF(DAY(JunDom1)=1,JunDom1+26,JunDom1+33)</f>
        <v>43280</v>
      </c>
      <c r="H8" s="10">
        <f>IF(DAY(JunDom1)=1,JunDom1+27,JunDom1+34)</f>
        <v>43281</v>
      </c>
      <c r="I8" s="10">
        <f>IF(DAY(JunDom1)=1,JunDom1+28,JunDom1+35)</f>
        <v>43282</v>
      </c>
      <c r="J8" s="5"/>
      <c r="K8" s="11"/>
      <c r="L8" s="17"/>
      <c r="M8" s="48"/>
      <c r="N8" s="49"/>
    </row>
    <row r="9" spans="1:14" ht="18" customHeight="1" x14ac:dyDescent="0.25">
      <c r="A9" s="4"/>
      <c r="B9" s="43"/>
      <c r="C9" s="10">
        <f>IF(DAY(JunDom1)=1,JunDom1+29,JunDom1+36)</f>
        <v>43283</v>
      </c>
      <c r="D9" s="10">
        <f>IF(DAY(JunDom1)=1,JunDom1+30,JunDom1+37)</f>
        <v>43284</v>
      </c>
      <c r="E9" s="10">
        <f>IF(DAY(JunDom1)=1,JunDom1+31,JunDom1+38)</f>
        <v>43285</v>
      </c>
      <c r="F9" s="10">
        <f>IF(DAY(JunDom1)=1,JunDom1+32,JunDom1+39)</f>
        <v>43286</v>
      </c>
      <c r="G9" s="10">
        <f>IF(DAY(JunDom1)=1,JunDom1+33,JunDom1+40)</f>
        <v>43287</v>
      </c>
      <c r="H9" s="10">
        <f>IF(DAY(JunDom1)=1,JunDom1+34,JunDom1+41)</f>
        <v>43288</v>
      </c>
      <c r="I9" s="10">
        <f>IF(DAY(JunDom1)=1,JunDom1+35,JunDom1+42)</f>
        <v>43289</v>
      </c>
      <c r="J9" s="5"/>
      <c r="K9" s="12"/>
      <c r="L9" s="18"/>
      <c r="M9" s="52"/>
      <c r="N9" s="53"/>
    </row>
    <row r="10" spans="1:14" ht="18" customHeight="1" x14ac:dyDescent="0.25">
      <c r="A10" s="4"/>
      <c r="B10" s="44"/>
      <c r="C10" s="23"/>
      <c r="D10" s="23"/>
      <c r="E10" s="23"/>
      <c r="F10" s="23"/>
      <c r="G10" s="23"/>
      <c r="H10" s="23"/>
      <c r="I10" s="23"/>
      <c r="J10" s="24"/>
      <c r="K10" s="77" t="s">
        <v>12</v>
      </c>
      <c r="L10" s="16"/>
      <c r="M10" s="54"/>
      <c r="N10" s="55"/>
    </row>
    <row r="11" spans="1:14" ht="18" customHeight="1" x14ac:dyDescent="0.25">
      <c r="A11" s="4"/>
      <c r="B11" s="45" t="s">
        <v>10</v>
      </c>
      <c r="C11" s="46"/>
      <c r="D11" s="46"/>
      <c r="E11" s="46"/>
      <c r="F11" s="46"/>
      <c r="G11" s="46"/>
      <c r="H11" s="46"/>
      <c r="I11" s="46"/>
      <c r="J11" s="47"/>
      <c r="K11" s="78"/>
      <c r="L11" s="17"/>
      <c r="M11" s="48"/>
      <c r="N11" s="49"/>
    </row>
    <row r="12" spans="1:14" ht="18" customHeight="1" x14ac:dyDescent="0.25">
      <c r="A12" s="4"/>
      <c r="B12" s="45"/>
      <c r="C12" s="46"/>
      <c r="D12" s="46"/>
      <c r="E12" s="46"/>
      <c r="F12" s="46"/>
      <c r="G12" s="46"/>
      <c r="H12" s="46"/>
      <c r="I12" s="46"/>
      <c r="J12" s="47"/>
      <c r="K12" s="78"/>
      <c r="L12" s="17"/>
      <c r="M12" s="48"/>
      <c r="N12" s="49"/>
    </row>
    <row r="13" spans="1:14" ht="18" customHeight="1" x14ac:dyDescent="0.25">
      <c r="B13" s="3" t="s">
        <v>11</v>
      </c>
      <c r="C13" s="79" t="s">
        <v>12</v>
      </c>
      <c r="D13" s="81"/>
      <c r="E13" s="79" t="s">
        <v>13</v>
      </c>
      <c r="F13" s="81"/>
      <c r="G13" s="79" t="s">
        <v>14</v>
      </c>
      <c r="H13" s="81"/>
      <c r="I13" s="79" t="s">
        <v>15</v>
      </c>
      <c r="J13" s="80"/>
      <c r="K13" s="11"/>
      <c r="L13" s="17"/>
      <c r="M13" s="48"/>
      <c r="N13" s="49"/>
    </row>
    <row r="14" spans="1:14" ht="18" customHeight="1" x14ac:dyDescent="0.25">
      <c r="B14" s="8"/>
      <c r="C14" s="56"/>
      <c r="D14" s="57"/>
      <c r="E14" s="56"/>
      <c r="F14" s="57"/>
      <c r="G14" s="56"/>
      <c r="H14" s="57"/>
      <c r="I14" s="56"/>
      <c r="J14" s="71"/>
      <c r="K14" s="11"/>
      <c r="L14" s="17"/>
      <c r="M14" s="48"/>
      <c r="N14" s="49"/>
    </row>
    <row r="15" spans="1:14" ht="18" customHeight="1" x14ac:dyDescent="0.25">
      <c r="B15" s="6"/>
      <c r="C15" s="58"/>
      <c r="D15" s="59"/>
      <c r="E15" s="58"/>
      <c r="F15" s="59"/>
      <c r="G15" s="58"/>
      <c r="H15" s="59"/>
      <c r="I15" s="69"/>
      <c r="J15" s="70"/>
      <c r="K15" s="13"/>
      <c r="L15" s="19"/>
      <c r="M15" s="52"/>
      <c r="N15" s="53"/>
    </row>
    <row r="16" spans="1:14" ht="18" customHeight="1" x14ac:dyDescent="0.25">
      <c r="B16" s="8"/>
      <c r="C16" s="56"/>
      <c r="D16" s="57"/>
      <c r="E16" s="56"/>
      <c r="F16" s="57"/>
      <c r="G16" s="56"/>
      <c r="H16" s="57"/>
      <c r="I16" s="65"/>
      <c r="J16" s="66"/>
      <c r="K16" s="91" t="s">
        <v>13</v>
      </c>
      <c r="L16" s="16"/>
      <c r="M16" s="54"/>
      <c r="N16" s="55"/>
    </row>
    <row r="17" spans="2:14" ht="18" customHeight="1" x14ac:dyDescent="0.25">
      <c r="B17" s="6"/>
      <c r="C17" s="58"/>
      <c r="D17" s="59"/>
      <c r="E17" s="58"/>
      <c r="F17" s="59"/>
      <c r="G17" s="58"/>
      <c r="H17" s="59"/>
      <c r="I17" s="69"/>
      <c r="J17" s="70"/>
      <c r="K17" s="92"/>
      <c r="L17" s="17"/>
      <c r="M17" s="48"/>
      <c r="N17" s="49"/>
    </row>
    <row r="18" spans="2:14" ht="18" customHeight="1" x14ac:dyDescent="0.25">
      <c r="B18" s="9"/>
      <c r="C18" s="74"/>
      <c r="D18" s="75"/>
      <c r="E18" s="74"/>
      <c r="F18" s="75"/>
      <c r="G18" s="74"/>
      <c r="H18" s="75"/>
      <c r="I18" s="74"/>
      <c r="J18" s="76"/>
      <c r="K18" s="92"/>
      <c r="L18" s="17"/>
      <c r="M18" s="48"/>
      <c r="N18" s="49"/>
    </row>
    <row r="19" spans="2:14" ht="18" customHeight="1" x14ac:dyDescent="0.25">
      <c r="B19" s="6"/>
      <c r="C19" s="58"/>
      <c r="D19" s="59"/>
      <c r="E19" s="58"/>
      <c r="F19" s="59"/>
      <c r="G19" s="58"/>
      <c r="H19" s="59"/>
      <c r="I19" s="69"/>
      <c r="J19" s="70"/>
      <c r="K19" s="11"/>
      <c r="L19" s="17"/>
      <c r="M19" s="48"/>
      <c r="N19" s="49"/>
    </row>
    <row r="20" spans="2:14" ht="18" customHeight="1" x14ac:dyDescent="0.25">
      <c r="B20" s="8"/>
      <c r="C20" s="56"/>
      <c r="D20" s="57"/>
      <c r="E20" s="56"/>
      <c r="F20" s="57"/>
      <c r="G20" s="56"/>
      <c r="H20" s="57"/>
      <c r="I20" s="56"/>
      <c r="J20" s="71"/>
      <c r="K20" s="11"/>
      <c r="L20" s="17"/>
      <c r="M20" s="48"/>
      <c r="N20" s="49"/>
    </row>
    <row r="21" spans="2:14" ht="18" customHeight="1" x14ac:dyDescent="0.25">
      <c r="B21" s="6"/>
      <c r="C21" s="58"/>
      <c r="D21" s="59"/>
      <c r="E21" s="58"/>
      <c r="F21" s="59"/>
      <c r="G21" s="58"/>
      <c r="H21" s="59"/>
      <c r="I21" s="72"/>
      <c r="J21" s="73"/>
      <c r="K21" s="13"/>
      <c r="L21" s="19"/>
      <c r="M21" s="52"/>
      <c r="N21" s="53"/>
    </row>
    <row r="22" spans="2:14" ht="18" customHeight="1" x14ac:dyDescent="0.25">
      <c r="B22" s="8"/>
      <c r="C22" s="56"/>
      <c r="D22" s="57"/>
      <c r="E22" s="56"/>
      <c r="F22" s="57"/>
      <c r="G22" s="56"/>
      <c r="H22" s="57"/>
      <c r="I22" s="56"/>
      <c r="J22" s="71"/>
      <c r="K22" s="91" t="s">
        <v>14</v>
      </c>
      <c r="L22" s="16"/>
      <c r="M22" s="54"/>
      <c r="N22" s="55"/>
    </row>
    <row r="23" spans="2:14" ht="18" customHeight="1" x14ac:dyDescent="0.25">
      <c r="B23" s="6"/>
      <c r="C23" s="58"/>
      <c r="D23" s="59"/>
      <c r="E23" s="58"/>
      <c r="F23" s="59"/>
      <c r="G23" s="58"/>
      <c r="H23" s="59"/>
      <c r="I23" s="69"/>
      <c r="J23" s="70"/>
      <c r="K23" s="92"/>
      <c r="L23" s="17"/>
      <c r="M23" s="48"/>
      <c r="N23" s="49"/>
    </row>
    <row r="24" spans="2:14" ht="18" customHeight="1" x14ac:dyDescent="0.25">
      <c r="B24" s="8"/>
      <c r="C24" s="56"/>
      <c r="D24" s="57"/>
      <c r="E24" s="56"/>
      <c r="F24" s="57"/>
      <c r="G24" s="56"/>
      <c r="H24" s="57"/>
      <c r="I24" s="56"/>
      <c r="J24" s="71"/>
      <c r="K24" s="92"/>
      <c r="L24" s="17"/>
      <c r="M24" s="48"/>
      <c r="N24" s="49"/>
    </row>
    <row r="25" spans="2:14" ht="18" customHeight="1" x14ac:dyDescent="0.25">
      <c r="B25" s="6"/>
      <c r="C25" s="58"/>
      <c r="D25" s="59"/>
      <c r="E25" s="58"/>
      <c r="F25" s="59"/>
      <c r="G25" s="58"/>
      <c r="H25" s="59"/>
      <c r="I25" s="69"/>
      <c r="J25" s="70"/>
      <c r="K25" s="92"/>
      <c r="L25" s="17"/>
      <c r="M25" s="48"/>
      <c r="N25" s="49"/>
    </row>
    <row r="26" spans="2:14" ht="18" customHeight="1" x14ac:dyDescent="0.25">
      <c r="B26" s="8"/>
      <c r="C26" s="56"/>
      <c r="D26" s="57"/>
      <c r="E26" s="56"/>
      <c r="F26" s="57"/>
      <c r="G26" s="56"/>
      <c r="H26" s="57"/>
      <c r="I26" s="56"/>
      <c r="J26" s="71"/>
      <c r="K26" s="11"/>
      <c r="L26" s="17"/>
      <c r="M26" s="48"/>
      <c r="N26" s="49"/>
    </row>
    <row r="27" spans="2:14" ht="18" customHeight="1" x14ac:dyDescent="0.25">
      <c r="B27" s="6"/>
      <c r="C27" s="58"/>
      <c r="D27" s="59"/>
      <c r="E27" s="58"/>
      <c r="F27" s="59"/>
      <c r="G27" s="58"/>
      <c r="H27" s="59"/>
      <c r="I27" s="69"/>
      <c r="J27" s="70"/>
      <c r="K27" s="13"/>
      <c r="L27" s="19"/>
      <c r="M27" s="52"/>
      <c r="N27" s="53"/>
    </row>
    <row r="28" spans="2:14" ht="18" customHeight="1" x14ac:dyDescent="0.25">
      <c r="B28" s="8"/>
      <c r="C28" s="56"/>
      <c r="D28" s="57"/>
      <c r="E28" s="56"/>
      <c r="F28" s="57"/>
      <c r="G28" s="56"/>
      <c r="H28" s="57"/>
      <c r="I28" s="56"/>
      <c r="J28" s="71"/>
      <c r="K28" s="77" t="s">
        <v>15</v>
      </c>
      <c r="L28" s="16"/>
      <c r="M28" s="54"/>
      <c r="N28" s="55"/>
    </row>
    <row r="29" spans="2:14" ht="18" customHeight="1" x14ac:dyDescent="0.25">
      <c r="B29" s="6"/>
      <c r="C29" s="58"/>
      <c r="D29" s="59"/>
      <c r="E29" s="58"/>
      <c r="F29" s="59"/>
      <c r="G29" s="58"/>
      <c r="H29" s="59"/>
      <c r="I29" s="58"/>
      <c r="J29" s="64"/>
      <c r="K29" s="78"/>
      <c r="L29" s="17"/>
      <c r="M29" s="48"/>
      <c r="N29" s="49"/>
    </row>
    <row r="30" spans="2:14" ht="18" customHeight="1" x14ac:dyDescent="0.25">
      <c r="B30" s="8"/>
      <c r="C30" s="56"/>
      <c r="D30" s="57"/>
      <c r="E30" s="56"/>
      <c r="F30" s="57"/>
      <c r="G30" s="56"/>
      <c r="H30" s="57"/>
      <c r="I30" s="62"/>
      <c r="J30" s="63"/>
      <c r="K30" s="78"/>
      <c r="L30" s="17"/>
      <c r="M30" s="48"/>
      <c r="N30" s="49"/>
    </row>
    <row r="31" spans="2:14" ht="18" customHeight="1" x14ac:dyDescent="0.25">
      <c r="B31" s="6"/>
      <c r="C31" s="58"/>
      <c r="D31" s="59"/>
      <c r="E31" s="58"/>
      <c r="F31" s="59"/>
      <c r="G31" s="58"/>
      <c r="H31" s="59"/>
      <c r="I31" s="58"/>
      <c r="J31" s="64"/>
      <c r="K31" s="14"/>
      <c r="L31" s="17"/>
      <c r="M31" s="48"/>
      <c r="N31" s="49"/>
    </row>
    <row r="32" spans="2:14" ht="18" customHeight="1" x14ac:dyDescent="0.25">
      <c r="B32" s="8"/>
      <c r="C32" s="56"/>
      <c r="D32" s="57"/>
      <c r="E32" s="56"/>
      <c r="F32" s="57"/>
      <c r="G32" s="56"/>
      <c r="H32" s="57"/>
      <c r="I32" s="65"/>
      <c r="J32" s="66"/>
      <c r="K32" s="14"/>
      <c r="L32" s="17"/>
      <c r="M32" s="48"/>
      <c r="N32" s="49"/>
    </row>
    <row r="33" spans="2:14" ht="18" customHeight="1" x14ac:dyDescent="0.25">
      <c r="B33" s="7"/>
      <c r="C33" s="60"/>
      <c r="D33" s="61"/>
      <c r="E33" s="60"/>
      <c r="F33" s="61"/>
      <c r="G33" s="60"/>
      <c r="H33" s="61"/>
      <c r="I33" s="67"/>
      <c r="J33" s="68"/>
      <c r="K33" s="15"/>
      <c r="L33" s="20"/>
      <c r="M33" s="50"/>
      <c r="N33" s="51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5" priority="3" stopIfTrue="1">
      <formula>DAY(C4)&gt;8</formula>
    </cfRule>
  </conditionalFormatting>
  <conditionalFormatting sqref="C8:I10">
    <cfRule type="expression" dxfId="34" priority="2" stopIfTrue="1">
      <formula>AND(DAY(C8)&gt;=1,DAY(C8)&lt;=15)</formula>
    </cfRule>
  </conditionalFormatting>
  <conditionalFormatting sqref="C4:I9">
    <cfRule type="expression" dxfId="33" priority="4">
      <formula>VLOOKUP(DAY(C4),DíasDeTareas,1,FALSE)=DAY(C4)</formula>
    </cfRule>
  </conditionalFormatting>
  <conditionalFormatting sqref="B14:J33">
    <cfRule type="expression" dxfId="3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B29" sqref="B29:J32"/>
    </sheetView>
  </sheetViews>
  <sheetFormatPr baseColWidth="10" defaultColWidth="8.6640625" defaultRowHeight="16.5" customHeight="1" x14ac:dyDescent="0.25"/>
  <cols>
    <col min="1" max="1" width="2.33203125" style="1" customWidth="1"/>
    <col min="2" max="2" width="12.6640625" style="1" customWidth="1"/>
    <col min="3" max="10" width="6.6640625" style="1" customWidth="1"/>
    <col min="11" max="11" width="7.33203125" style="1" customWidth="1"/>
    <col min="12" max="12" width="3.88671875" customWidth="1"/>
    <col min="13" max="13" width="51.44140625" style="1" customWidth="1"/>
    <col min="14" max="14" width="10.6640625" style="1" customWidth="1"/>
    <col min="15" max="15" width="2.33203125" customWidth="1"/>
    <col min="16" max="22" width="8.88671875" customWidth="1"/>
    <col min="42" max="16384" width="8.6640625" style="1"/>
  </cols>
  <sheetData>
    <row r="1" spans="1:14" ht="11.25" customHeight="1" x14ac:dyDescent="0.25"/>
    <row r="2" spans="1:14" ht="18" customHeight="1" x14ac:dyDescent="0.25">
      <c r="A2" s="4"/>
      <c r="B2" s="42" t="s">
        <v>18</v>
      </c>
      <c r="C2" s="21"/>
      <c r="D2" s="21"/>
      <c r="E2" s="21"/>
      <c r="F2" s="21"/>
      <c r="G2" s="21"/>
      <c r="H2" s="21"/>
      <c r="I2" s="21"/>
      <c r="J2" s="22"/>
      <c r="K2" s="82" t="s">
        <v>3</v>
      </c>
      <c r="L2" s="83">
        <v>2013</v>
      </c>
      <c r="M2" s="83"/>
      <c r="N2" s="25"/>
    </row>
    <row r="3" spans="1:14" ht="21" customHeight="1" x14ac:dyDescent="0.25">
      <c r="A3" s="4"/>
      <c r="B3" s="4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84"/>
      <c r="L3" s="85"/>
      <c r="M3" s="85"/>
      <c r="N3" s="26"/>
    </row>
    <row r="4" spans="1:14" ht="18" customHeight="1" x14ac:dyDescent="0.25">
      <c r="A4" s="4"/>
      <c r="B4" s="43"/>
      <c r="C4" s="10">
        <f>IF(DAY(JulDom1)=1,JulDom1-6,JulDom1+1)</f>
        <v>43276</v>
      </c>
      <c r="D4" s="10">
        <f>IF(DAY(JulDom1)=1,JulDom1-5,JulDom1+2)</f>
        <v>43277</v>
      </c>
      <c r="E4" s="10">
        <f>IF(DAY(JulDom1)=1,JulDom1-4,JulDom1+3)</f>
        <v>43278</v>
      </c>
      <c r="F4" s="10">
        <f>IF(DAY(JulDom1)=1,JulDom1-3,JulDom1+4)</f>
        <v>43279</v>
      </c>
      <c r="G4" s="10">
        <f>IF(DAY(JulDom1)=1,JulDom1-2,JulDom1+5)</f>
        <v>43280</v>
      </c>
      <c r="H4" s="10">
        <f>IF(DAY(JulDom1)=1,JulDom1-1,JulDom1+6)</f>
        <v>43281</v>
      </c>
      <c r="I4" s="10">
        <f>IF(DAY(JulDom1)=1,JulDom1,JulDom1+7)</f>
        <v>43282</v>
      </c>
      <c r="J4" s="5"/>
      <c r="K4" s="86" t="s">
        <v>11</v>
      </c>
      <c r="L4" s="16"/>
      <c r="M4" s="87"/>
      <c r="N4" s="88"/>
    </row>
    <row r="5" spans="1:14" ht="18" customHeight="1" x14ac:dyDescent="0.25">
      <c r="A5" s="4"/>
      <c r="B5" s="43"/>
      <c r="C5" s="10">
        <f>IF(DAY(JulDom1)=1,JulDom1+1,JulDom1+8)</f>
        <v>43283</v>
      </c>
      <c r="D5" s="10">
        <f>IF(DAY(JulDom1)=1,JulDom1+2,JulDom1+9)</f>
        <v>43284</v>
      </c>
      <c r="E5" s="10">
        <f>IF(DAY(JulDom1)=1,JulDom1+3,JulDom1+10)</f>
        <v>43285</v>
      </c>
      <c r="F5" s="10">
        <f>IF(DAY(JulDom1)=1,JulDom1+4,JulDom1+11)</f>
        <v>43286</v>
      </c>
      <c r="G5" s="10">
        <f>IF(DAY(JulDom1)=1,JulDom1+5,JulDom1+12)</f>
        <v>43287</v>
      </c>
      <c r="H5" s="10">
        <f>IF(DAY(JulDom1)=1,JulDom1+6,JulDom1+13)</f>
        <v>43288</v>
      </c>
      <c r="I5" s="10">
        <f>IF(DAY(JulDom1)=1,JulDom1+7,JulDom1+14)</f>
        <v>43289</v>
      </c>
      <c r="J5" s="5"/>
      <c r="K5" s="78"/>
      <c r="L5" s="17"/>
      <c r="M5" s="48"/>
      <c r="N5" s="49"/>
    </row>
    <row r="6" spans="1:14" ht="18" customHeight="1" x14ac:dyDescent="0.25">
      <c r="A6" s="4"/>
      <c r="B6" s="43"/>
      <c r="C6" s="10">
        <f>IF(DAY(JulDom1)=1,JulDom1+8,JulDom1+15)</f>
        <v>43290</v>
      </c>
      <c r="D6" s="10">
        <f>IF(DAY(JulDom1)=1,JulDom1+9,JulDom1+16)</f>
        <v>43291</v>
      </c>
      <c r="E6" s="10">
        <f>IF(DAY(JulDom1)=1,JulDom1+10,JulDom1+17)</f>
        <v>43292</v>
      </c>
      <c r="F6" s="10">
        <f>IF(DAY(JulDom1)=1,JulDom1+11,JulDom1+18)</f>
        <v>43293</v>
      </c>
      <c r="G6" s="10">
        <f>IF(DAY(JulDom1)=1,JulDom1+12,JulDom1+19)</f>
        <v>43294</v>
      </c>
      <c r="H6" s="10">
        <f>IF(DAY(JulDom1)=1,JulDom1+13,JulDom1+20)</f>
        <v>43295</v>
      </c>
      <c r="I6" s="10">
        <f>IF(DAY(JulDom1)=1,JulDom1+14,JulDom1+21)</f>
        <v>43296</v>
      </c>
      <c r="J6" s="5"/>
      <c r="K6" s="78"/>
      <c r="L6" s="17"/>
      <c r="M6" s="48"/>
      <c r="N6" s="49"/>
    </row>
    <row r="7" spans="1:14" ht="18" customHeight="1" x14ac:dyDescent="0.25">
      <c r="A7" s="4"/>
      <c r="B7" s="43"/>
      <c r="C7" s="10">
        <f>IF(DAY(JulDom1)=1,JulDom1+15,JulDom1+22)</f>
        <v>43297</v>
      </c>
      <c r="D7" s="10">
        <f>IF(DAY(JulDom1)=1,JulDom1+16,JulDom1+23)</f>
        <v>43298</v>
      </c>
      <c r="E7" s="10">
        <f>IF(DAY(JulDom1)=1,JulDom1+17,JulDom1+24)</f>
        <v>43299</v>
      </c>
      <c r="F7" s="10">
        <f>IF(DAY(JulDom1)=1,JulDom1+18,JulDom1+25)</f>
        <v>43300</v>
      </c>
      <c r="G7" s="10">
        <f>IF(DAY(JulDom1)=1,JulDom1+19,JulDom1+26)</f>
        <v>43301</v>
      </c>
      <c r="H7" s="10">
        <f>IF(DAY(JulDom1)=1,JulDom1+20,JulDom1+27)</f>
        <v>43302</v>
      </c>
      <c r="I7" s="10">
        <f>IF(DAY(JulDom1)=1,JulDom1+21,JulDom1+28)</f>
        <v>43303</v>
      </c>
      <c r="J7" s="5"/>
      <c r="K7" s="11"/>
      <c r="L7" s="17"/>
      <c r="M7" s="48"/>
      <c r="N7" s="49"/>
    </row>
    <row r="8" spans="1:14" ht="18.75" customHeight="1" x14ac:dyDescent="0.25">
      <c r="A8" s="4"/>
      <c r="B8" s="43"/>
      <c r="C8" s="10">
        <f>IF(DAY(JulDom1)=1,JulDom1+22,JulDom1+29)</f>
        <v>43304</v>
      </c>
      <c r="D8" s="10">
        <f>IF(DAY(JulDom1)=1,JulDom1+23,JulDom1+30)</f>
        <v>43305</v>
      </c>
      <c r="E8" s="10">
        <f>IF(DAY(JulDom1)=1,JulDom1+24,JulDom1+31)</f>
        <v>43306</v>
      </c>
      <c r="F8" s="10">
        <f>IF(DAY(JulDom1)=1,JulDom1+25,JulDom1+32)</f>
        <v>43307</v>
      </c>
      <c r="G8" s="10">
        <f>IF(DAY(JulDom1)=1,JulDom1+26,JulDom1+33)</f>
        <v>43308</v>
      </c>
      <c r="H8" s="10">
        <f>IF(DAY(JulDom1)=1,JulDom1+27,JulDom1+34)</f>
        <v>43309</v>
      </c>
      <c r="I8" s="10">
        <f>IF(DAY(JulDom1)=1,JulDom1+28,JulDom1+35)</f>
        <v>43310</v>
      </c>
      <c r="J8" s="5"/>
      <c r="K8" s="11"/>
      <c r="L8" s="17"/>
      <c r="M8" s="48"/>
      <c r="N8" s="49"/>
    </row>
    <row r="9" spans="1:14" ht="18" customHeight="1" x14ac:dyDescent="0.25">
      <c r="A9" s="4"/>
      <c r="B9" s="43"/>
      <c r="C9" s="10">
        <f>IF(DAY(JulDom1)=1,JulDom1+29,JulDom1+36)</f>
        <v>43311</v>
      </c>
      <c r="D9" s="10">
        <f>IF(DAY(JulDom1)=1,JulDom1+30,JulDom1+37)</f>
        <v>43312</v>
      </c>
      <c r="E9" s="10">
        <f>IF(DAY(JulDom1)=1,JulDom1+31,JulDom1+38)</f>
        <v>43313</v>
      </c>
      <c r="F9" s="10">
        <f>IF(DAY(JulDom1)=1,JulDom1+32,JulDom1+39)</f>
        <v>43314</v>
      </c>
      <c r="G9" s="10">
        <f>IF(DAY(JulDom1)=1,JulDom1+33,JulDom1+40)</f>
        <v>43315</v>
      </c>
      <c r="H9" s="10">
        <f>IF(DAY(JulDom1)=1,JulDom1+34,JulDom1+41)</f>
        <v>43316</v>
      </c>
      <c r="I9" s="10">
        <f>IF(DAY(JulDom1)=1,JulDom1+35,JulDom1+42)</f>
        <v>43317</v>
      </c>
      <c r="J9" s="5"/>
      <c r="K9" s="12"/>
      <c r="L9" s="18"/>
      <c r="M9" s="52"/>
      <c r="N9" s="53"/>
    </row>
    <row r="10" spans="1:14" ht="18" customHeight="1" x14ac:dyDescent="0.25">
      <c r="A10" s="4"/>
      <c r="B10" s="44"/>
      <c r="C10" s="23"/>
      <c r="D10" s="23"/>
      <c r="E10" s="23"/>
      <c r="F10" s="23"/>
      <c r="G10" s="23"/>
      <c r="H10" s="23"/>
      <c r="I10" s="23"/>
      <c r="J10" s="24"/>
      <c r="K10" s="77" t="s">
        <v>12</v>
      </c>
      <c r="L10" s="16"/>
      <c r="M10" s="54"/>
      <c r="N10" s="55"/>
    </row>
    <row r="11" spans="1:14" ht="18" customHeight="1" x14ac:dyDescent="0.25">
      <c r="A11" s="4"/>
      <c r="B11" s="45" t="s">
        <v>10</v>
      </c>
      <c r="C11" s="46"/>
      <c r="D11" s="46"/>
      <c r="E11" s="46"/>
      <c r="F11" s="46"/>
      <c r="G11" s="46"/>
      <c r="H11" s="46"/>
      <c r="I11" s="46"/>
      <c r="J11" s="47"/>
      <c r="K11" s="78"/>
      <c r="L11" s="17"/>
      <c r="M11" s="48"/>
      <c r="N11" s="49"/>
    </row>
    <row r="12" spans="1:14" ht="18" customHeight="1" x14ac:dyDescent="0.25">
      <c r="A12" s="4"/>
      <c r="B12" s="45"/>
      <c r="C12" s="46"/>
      <c r="D12" s="46"/>
      <c r="E12" s="46"/>
      <c r="F12" s="46"/>
      <c r="G12" s="46"/>
      <c r="H12" s="46"/>
      <c r="I12" s="46"/>
      <c r="J12" s="47"/>
      <c r="K12" s="78"/>
      <c r="L12" s="17"/>
      <c r="M12" s="48"/>
      <c r="N12" s="49"/>
    </row>
    <row r="13" spans="1:14" ht="18" customHeight="1" x14ac:dyDescent="0.25">
      <c r="B13" s="3" t="s">
        <v>11</v>
      </c>
      <c r="C13" s="79" t="s">
        <v>12</v>
      </c>
      <c r="D13" s="81"/>
      <c r="E13" s="79" t="s">
        <v>13</v>
      </c>
      <c r="F13" s="81"/>
      <c r="G13" s="79" t="s">
        <v>14</v>
      </c>
      <c r="H13" s="81"/>
      <c r="I13" s="79" t="s">
        <v>15</v>
      </c>
      <c r="J13" s="80"/>
      <c r="K13" s="11"/>
      <c r="L13" s="17"/>
      <c r="M13" s="48"/>
      <c r="N13" s="49"/>
    </row>
    <row r="14" spans="1:14" ht="18" customHeight="1" x14ac:dyDescent="0.25">
      <c r="B14" s="8"/>
      <c r="C14" s="56"/>
      <c r="D14" s="57"/>
      <c r="E14" s="56"/>
      <c r="F14" s="57"/>
      <c r="G14" s="56"/>
      <c r="H14" s="57"/>
      <c r="I14" s="56"/>
      <c r="J14" s="71"/>
      <c r="K14" s="11"/>
      <c r="L14" s="17"/>
      <c r="M14" s="48"/>
      <c r="N14" s="49"/>
    </row>
    <row r="15" spans="1:14" ht="18" customHeight="1" x14ac:dyDescent="0.25">
      <c r="B15" s="6"/>
      <c r="C15" s="58"/>
      <c r="D15" s="59"/>
      <c r="E15" s="58"/>
      <c r="F15" s="59"/>
      <c r="G15" s="58"/>
      <c r="H15" s="59"/>
      <c r="I15" s="69"/>
      <c r="J15" s="70"/>
      <c r="K15" s="13"/>
      <c r="L15" s="19"/>
      <c r="M15" s="52"/>
      <c r="N15" s="53"/>
    </row>
    <row r="16" spans="1:14" ht="18" customHeight="1" x14ac:dyDescent="0.25">
      <c r="B16" s="8"/>
      <c r="C16" s="56"/>
      <c r="D16" s="57"/>
      <c r="E16" s="56"/>
      <c r="F16" s="57"/>
      <c r="G16" s="56"/>
      <c r="H16" s="57"/>
      <c r="I16" s="65"/>
      <c r="J16" s="66"/>
      <c r="K16" s="91" t="s">
        <v>13</v>
      </c>
      <c r="L16" s="16"/>
      <c r="M16" s="54"/>
      <c r="N16" s="55"/>
    </row>
    <row r="17" spans="2:14" ht="18" customHeight="1" x14ac:dyDescent="0.25">
      <c r="B17" s="6"/>
      <c r="C17" s="58"/>
      <c r="D17" s="59"/>
      <c r="E17" s="58"/>
      <c r="F17" s="59"/>
      <c r="G17" s="58"/>
      <c r="H17" s="59"/>
      <c r="I17" s="69"/>
      <c r="J17" s="70"/>
      <c r="K17" s="92"/>
      <c r="L17" s="17"/>
      <c r="M17" s="48"/>
      <c r="N17" s="49"/>
    </row>
    <row r="18" spans="2:14" ht="18" customHeight="1" x14ac:dyDescent="0.25">
      <c r="B18" s="9"/>
      <c r="C18" s="74"/>
      <c r="D18" s="75"/>
      <c r="E18" s="74"/>
      <c r="F18" s="75"/>
      <c r="G18" s="74"/>
      <c r="H18" s="75"/>
      <c r="I18" s="74"/>
      <c r="J18" s="76"/>
      <c r="K18" s="92"/>
      <c r="L18" s="17"/>
      <c r="M18" s="48"/>
      <c r="N18" s="49"/>
    </row>
    <row r="19" spans="2:14" ht="18" customHeight="1" x14ac:dyDescent="0.25">
      <c r="B19" s="6"/>
      <c r="C19" s="58"/>
      <c r="D19" s="59"/>
      <c r="E19" s="58"/>
      <c r="F19" s="59"/>
      <c r="G19" s="58"/>
      <c r="H19" s="59"/>
      <c r="I19" s="69"/>
      <c r="J19" s="70"/>
      <c r="K19" s="11"/>
      <c r="L19" s="17"/>
      <c r="M19" s="48"/>
      <c r="N19" s="49"/>
    </row>
    <row r="20" spans="2:14" ht="18" customHeight="1" x14ac:dyDescent="0.25">
      <c r="B20" s="8"/>
      <c r="C20" s="56"/>
      <c r="D20" s="57"/>
      <c r="E20" s="56"/>
      <c r="F20" s="57"/>
      <c r="G20" s="56"/>
      <c r="H20" s="57"/>
      <c r="I20" s="56"/>
      <c r="J20" s="71"/>
      <c r="K20" s="11"/>
      <c r="L20" s="17"/>
      <c r="M20" s="48"/>
      <c r="N20" s="49"/>
    </row>
    <row r="21" spans="2:14" ht="18" customHeight="1" x14ac:dyDescent="0.25">
      <c r="B21" s="6"/>
      <c r="C21" s="58"/>
      <c r="D21" s="59"/>
      <c r="E21" s="58"/>
      <c r="F21" s="59"/>
      <c r="G21" s="58"/>
      <c r="H21" s="59"/>
      <c r="I21" s="72"/>
      <c r="J21" s="73"/>
      <c r="K21" s="13"/>
      <c r="L21" s="19"/>
      <c r="M21" s="52"/>
      <c r="N21" s="53"/>
    </row>
    <row r="22" spans="2:14" ht="18" customHeight="1" x14ac:dyDescent="0.25">
      <c r="B22" s="8"/>
      <c r="C22" s="56"/>
      <c r="D22" s="57"/>
      <c r="E22" s="56"/>
      <c r="F22" s="57"/>
      <c r="G22" s="56"/>
      <c r="H22" s="57"/>
      <c r="I22" s="56"/>
      <c r="J22" s="71"/>
      <c r="K22" s="91" t="s">
        <v>14</v>
      </c>
      <c r="L22" s="16"/>
      <c r="M22" s="54"/>
      <c r="N22" s="55"/>
    </row>
    <row r="23" spans="2:14" ht="18" customHeight="1" x14ac:dyDescent="0.25">
      <c r="B23" s="6"/>
      <c r="C23" s="58"/>
      <c r="D23" s="59"/>
      <c r="E23" s="58"/>
      <c r="F23" s="59"/>
      <c r="G23" s="58"/>
      <c r="H23" s="59"/>
      <c r="I23" s="69"/>
      <c r="J23" s="70"/>
      <c r="K23" s="92"/>
      <c r="L23" s="17"/>
      <c r="M23" s="48"/>
      <c r="N23" s="49"/>
    </row>
    <row r="24" spans="2:14" ht="18" customHeight="1" x14ac:dyDescent="0.25">
      <c r="B24" s="8"/>
      <c r="C24" s="56"/>
      <c r="D24" s="57"/>
      <c r="E24" s="56"/>
      <c r="F24" s="57"/>
      <c r="G24" s="56"/>
      <c r="H24" s="57"/>
      <c r="I24" s="56"/>
      <c r="J24" s="71"/>
      <c r="K24" s="92"/>
      <c r="L24" s="17"/>
      <c r="M24" s="48"/>
      <c r="N24" s="49"/>
    </row>
    <row r="25" spans="2:14" ht="18" customHeight="1" x14ac:dyDescent="0.25">
      <c r="B25" s="6"/>
      <c r="C25" s="58"/>
      <c r="D25" s="59"/>
      <c r="E25" s="58"/>
      <c r="F25" s="59"/>
      <c r="G25" s="58"/>
      <c r="H25" s="59"/>
      <c r="I25" s="69"/>
      <c r="J25" s="70"/>
      <c r="K25" s="92"/>
      <c r="L25" s="17"/>
      <c r="M25" s="48"/>
      <c r="N25" s="49"/>
    </row>
    <row r="26" spans="2:14" ht="18" customHeight="1" x14ac:dyDescent="0.25">
      <c r="B26" s="8"/>
      <c r="C26" s="56"/>
      <c r="D26" s="57"/>
      <c r="E26" s="56"/>
      <c r="F26" s="57"/>
      <c r="G26" s="56"/>
      <c r="H26" s="57"/>
      <c r="I26" s="56"/>
      <c r="J26" s="71"/>
      <c r="K26" s="11"/>
      <c r="L26" s="17"/>
      <c r="M26" s="48"/>
      <c r="N26" s="49"/>
    </row>
    <row r="27" spans="2:14" ht="18" customHeight="1" x14ac:dyDescent="0.25">
      <c r="B27" s="6"/>
      <c r="C27" s="58"/>
      <c r="D27" s="59"/>
      <c r="E27" s="58"/>
      <c r="F27" s="59"/>
      <c r="G27" s="58"/>
      <c r="H27" s="59"/>
      <c r="I27" s="69"/>
      <c r="J27" s="70"/>
      <c r="K27" s="13"/>
      <c r="L27" s="19"/>
      <c r="M27" s="52"/>
      <c r="N27" s="53"/>
    </row>
    <row r="28" spans="2:14" ht="18" customHeight="1" x14ac:dyDescent="0.25">
      <c r="B28" s="8"/>
      <c r="C28" s="56"/>
      <c r="D28" s="57"/>
      <c r="E28" s="56"/>
      <c r="F28" s="57"/>
      <c r="G28" s="56"/>
      <c r="H28" s="57"/>
      <c r="I28" s="56"/>
      <c r="J28" s="71"/>
      <c r="K28" s="77" t="s">
        <v>15</v>
      </c>
      <c r="L28" s="16"/>
      <c r="M28" s="54"/>
      <c r="N28" s="55"/>
    </row>
    <row r="29" spans="2:14" ht="18" customHeight="1" x14ac:dyDescent="0.25">
      <c r="B29" s="6"/>
      <c r="C29" s="58"/>
      <c r="D29" s="59"/>
      <c r="E29" s="58"/>
      <c r="F29" s="59"/>
      <c r="G29" s="58"/>
      <c r="H29" s="59"/>
      <c r="I29" s="58"/>
      <c r="J29" s="64"/>
      <c r="K29" s="78"/>
      <c r="L29" s="17"/>
      <c r="M29" s="48"/>
      <c r="N29" s="49"/>
    </row>
    <row r="30" spans="2:14" ht="18" customHeight="1" x14ac:dyDescent="0.25">
      <c r="B30" s="8"/>
      <c r="C30" s="56"/>
      <c r="D30" s="57"/>
      <c r="E30" s="56"/>
      <c r="F30" s="57"/>
      <c r="G30" s="56"/>
      <c r="H30" s="57"/>
      <c r="I30" s="62"/>
      <c r="J30" s="63"/>
      <c r="K30" s="78"/>
      <c r="L30" s="17"/>
      <c r="M30" s="48"/>
      <c r="N30" s="49"/>
    </row>
    <row r="31" spans="2:14" ht="18" customHeight="1" x14ac:dyDescent="0.25">
      <c r="B31" s="6"/>
      <c r="C31" s="58"/>
      <c r="D31" s="59"/>
      <c r="E31" s="58"/>
      <c r="F31" s="59"/>
      <c r="G31" s="58"/>
      <c r="H31" s="59"/>
      <c r="I31" s="58"/>
      <c r="J31" s="64"/>
      <c r="K31" s="14"/>
      <c r="L31" s="17"/>
      <c r="M31" s="48"/>
      <c r="N31" s="49"/>
    </row>
    <row r="32" spans="2:14" ht="18" customHeight="1" x14ac:dyDescent="0.25">
      <c r="B32" s="8"/>
      <c r="C32" s="56"/>
      <c r="D32" s="57"/>
      <c r="E32" s="56"/>
      <c r="F32" s="57"/>
      <c r="G32" s="56"/>
      <c r="H32" s="57"/>
      <c r="I32" s="65"/>
      <c r="J32" s="66"/>
      <c r="K32" s="14"/>
      <c r="L32" s="17"/>
      <c r="M32" s="48"/>
      <c r="N32" s="49"/>
    </row>
    <row r="33" spans="2:14" ht="18" customHeight="1" x14ac:dyDescent="0.25">
      <c r="B33" s="7"/>
      <c r="C33" s="60"/>
      <c r="D33" s="61"/>
      <c r="E33" s="60"/>
      <c r="F33" s="61"/>
      <c r="G33" s="60"/>
      <c r="H33" s="61"/>
      <c r="I33" s="67"/>
      <c r="J33" s="68"/>
      <c r="K33" s="15"/>
      <c r="L33" s="20"/>
      <c r="M33" s="50"/>
      <c r="N33" s="51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1" priority="3" stopIfTrue="1">
      <formula>DAY(C4)&gt;8</formula>
    </cfRule>
  </conditionalFormatting>
  <conditionalFormatting sqref="C8:I10">
    <cfRule type="expression" dxfId="30" priority="2" stopIfTrue="1">
      <formula>AND(DAY(C8)&gt;=1,DAY(C8)&lt;=15)</formula>
    </cfRule>
  </conditionalFormatting>
  <conditionalFormatting sqref="C4:I9">
    <cfRule type="expression" dxfId="29" priority="4">
      <formula>VLOOKUP(DAY(C4),DíasDeTareas,1,FALSE)=DAY(C4)</formula>
    </cfRule>
  </conditionalFormatting>
  <conditionalFormatting sqref="B14:J33">
    <cfRule type="expression" dxfId="2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B14" sqref="B14:J33"/>
    </sheetView>
  </sheetViews>
  <sheetFormatPr baseColWidth="10" defaultColWidth="8.6640625" defaultRowHeight="16.5" customHeight="1" x14ac:dyDescent="0.25"/>
  <cols>
    <col min="1" max="1" width="2.33203125" style="1" customWidth="1"/>
    <col min="2" max="2" width="12.6640625" style="1" customWidth="1"/>
    <col min="3" max="10" width="6.6640625" style="1" customWidth="1"/>
    <col min="11" max="11" width="7.33203125" style="1" customWidth="1"/>
    <col min="12" max="12" width="3.88671875" customWidth="1"/>
    <col min="13" max="13" width="51.44140625" style="1" customWidth="1"/>
    <col min="14" max="14" width="10.6640625" style="1" customWidth="1"/>
    <col min="15" max="15" width="2.33203125" customWidth="1"/>
    <col min="16" max="22" width="8.88671875" customWidth="1"/>
    <col min="42" max="16384" width="8.6640625" style="1"/>
  </cols>
  <sheetData>
    <row r="1" spans="1:14" ht="11.25" customHeight="1" x14ac:dyDescent="0.25">
      <c r="A1" s="2"/>
      <c r="B1" s="2"/>
      <c r="C1" s="2"/>
      <c r="D1" s="2"/>
      <c r="E1" s="2"/>
      <c r="F1" s="2"/>
      <c r="G1" s="2"/>
    </row>
    <row r="2" spans="1:14" ht="18" customHeight="1" x14ac:dyDescent="0.25">
      <c r="A2" s="4"/>
      <c r="B2" s="42" t="s">
        <v>17</v>
      </c>
      <c r="C2" s="21"/>
      <c r="D2" s="21"/>
      <c r="E2" s="21"/>
      <c r="F2" s="21"/>
      <c r="G2" s="21"/>
      <c r="H2" s="21"/>
      <c r="I2" s="21"/>
      <c r="J2" s="22"/>
      <c r="K2" s="82" t="s">
        <v>3</v>
      </c>
      <c r="L2" s="83">
        <v>2013</v>
      </c>
      <c r="M2" s="83"/>
      <c r="N2" s="25"/>
    </row>
    <row r="3" spans="1:14" ht="21" customHeight="1" x14ac:dyDescent="0.25">
      <c r="A3" s="4"/>
      <c r="B3" s="4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84"/>
      <c r="L3" s="85"/>
      <c r="M3" s="85"/>
      <c r="N3" s="26"/>
    </row>
    <row r="4" spans="1:14" ht="18" customHeight="1" x14ac:dyDescent="0.25">
      <c r="A4" s="4"/>
      <c r="B4" s="43"/>
      <c r="C4" s="10">
        <f>IF(DAY(AgoDom1)=1,AgoDom1-6,AgoDom1+1)</f>
        <v>43311</v>
      </c>
      <c r="D4" s="10">
        <f>IF(DAY(AgoDom1)=1,AgoDom1-5,AgoDom1+2)</f>
        <v>43312</v>
      </c>
      <c r="E4" s="10">
        <f>IF(DAY(AgoDom1)=1,AgoDom1-4,AgoDom1+3)</f>
        <v>43313</v>
      </c>
      <c r="F4" s="10">
        <f>IF(DAY(AgoDom1)=1,AgoDom1-3,AgoDom1+4)</f>
        <v>43314</v>
      </c>
      <c r="G4" s="10">
        <f>IF(DAY(AgoDom1)=1,AgoDom1-2,AgoDom1+5)</f>
        <v>43315</v>
      </c>
      <c r="H4" s="10">
        <f>IF(DAY(AgoDom1)=1,AgoDom1-1,AgoDom1+6)</f>
        <v>43316</v>
      </c>
      <c r="I4" s="10">
        <f>IF(DAY(AgoDom1)=1,AgoDom1,AgoDom1+7)</f>
        <v>43317</v>
      </c>
      <c r="J4" s="5"/>
      <c r="K4" s="86" t="s">
        <v>11</v>
      </c>
      <c r="L4" s="16"/>
      <c r="M4" s="87"/>
      <c r="N4" s="88"/>
    </row>
    <row r="5" spans="1:14" ht="18" customHeight="1" x14ac:dyDescent="0.25">
      <c r="A5" s="4"/>
      <c r="B5" s="43"/>
      <c r="C5" s="10">
        <f>IF(DAY(AgoDom1)=1,AgoDom1+1,AgoDom1+8)</f>
        <v>43318</v>
      </c>
      <c r="D5" s="10">
        <f>IF(DAY(AgoDom1)=1,AgoDom1+2,AgoDom1+9)</f>
        <v>43319</v>
      </c>
      <c r="E5" s="10">
        <f>IF(DAY(AgoDom1)=1,AgoDom1+3,AgoDom1+10)</f>
        <v>43320</v>
      </c>
      <c r="F5" s="10">
        <f>IF(DAY(AgoDom1)=1,AgoDom1+4,AgoDom1+11)</f>
        <v>43321</v>
      </c>
      <c r="G5" s="10">
        <f>IF(DAY(AgoDom1)=1,AgoDom1+5,AgoDom1+12)</f>
        <v>43322</v>
      </c>
      <c r="H5" s="10">
        <f>IF(DAY(AgoDom1)=1,AgoDom1+6,AgoDom1+13)</f>
        <v>43323</v>
      </c>
      <c r="I5" s="10">
        <f>IF(DAY(AgoDom1)=1,AgoDom1+7,AgoDom1+14)</f>
        <v>43324</v>
      </c>
      <c r="J5" s="5"/>
      <c r="K5" s="78"/>
      <c r="L5" s="17"/>
      <c r="M5" s="48"/>
      <c r="N5" s="49"/>
    </row>
    <row r="6" spans="1:14" ht="18" customHeight="1" x14ac:dyDescent="0.25">
      <c r="A6" s="4"/>
      <c r="B6" s="43"/>
      <c r="C6" s="10">
        <f>IF(DAY(AgoDom1)=1,AgoDom1+8,AgoDom1+15)</f>
        <v>43325</v>
      </c>
      <c r="D6" s="10">
        <f>IF(DAY(AgoDom1)=1,AgoDom1+9,AgoDom1+16)</f>
        <v>43326</v>
      </c>
      <c r="E6" s="10">
        <f>IF(DAY(AgoDom1)=1,AgoDom1+10,AgoDom1+17)</f>
        <v>43327</v>
      </c>
      <c r="F6" s="10">
        <f>IF(DAY(AgoDom1)=1,AgoDom1+11,AgoDom1+18)</f>
        <v>43328</v>
      </c>
      <c r="G6" s="10">
        <f>IF(DAY(AgoDom1)=1,AgoDom1+12,AgoDom1+19)</f>
        <v>43329</v>
      </c>
      <c r="H6" s="10">
        <f>IF(DAY(AgoDom1)=1,AgoDom1+13,AgoDom1+20)</f>
        <v>43330</v>
      </c>
      <c r="I6" s="10">
        <f>IF(DAY(AgoDom1)=1,AgoDom1+14,AgoDom1+21)</f>
        <v>43331</v>
      </c>
      <c r="J6" s="5"/>
      <c r="K6" s="78"/>
      <c r="L6" s="17"/>
      <c r="M6" s="48"/>
      <c r="N6" s="49"/>
    </row>
    <row r="7" spans="1:14" ht="18" customHeight="1" x14ac:dyDescent="0.25">
      <c r="A7" s="4"/>
      <c r="B7" s="43"/>
      <c r="C7" s="10">
        <f>IF(DAY(AgoDom1)=1,AgoDom1+15,AgoDom1+22)</f>
        <v>43332</v>
      </c>
      <c r="D7" s="10">
        <f>IF(DAY(AgoDom1)=1,AgoDom1+16,AgoDom1+23)</f>
        <v>43333</v>
      </c>
      <c r="E7" s="10">
        <f>IF(DAY(AgoDom1)=1,AgoDom1+17,AgoDom1+24)</f>
        <v>43334</v>
      </c>
      <c r="F7" s="10">
        <f>IF(DAY(AgoDom1)=1,AgoDom1+18,AgoDom1+25)</f>
        <v>43335</v>
      </c>
      <c r="G7" s="10">
        <f>IF(DAY(AgoDom1)=1,AgoDom1+19,AgoDom1+26)</f>
        <v>43336</v>
      </c>
      <c r="H7" s="10">
        <f>IF(DAY(AgoDom1)=1,AgoDom1+20,AgoDom1+27)</f>
        <v>43337</v>
      </c>
      <c r="I7" s="10">
        <f>IF(DAY(AgoDom1)=1,AgoDom1+21,AgoDom1+28)</f>
        <v>43338</v>
      </c>
      <c r="J7" s="5"/>
      <c r="K7" s="11"/>
      <c r="L7" s="17"/>
      <c r="M7" s="48"/>
      <c r="N7" s="49"/>
    </row>
    <row r="8" spans="1:14" ht="18.75" customHeight="1" x14ac:dyDescent="0.25">
      <c r="A8" s="4"/>
      <c r="B8" s="43"/>
      <c r="C8" s="10">
        <f>IF(DAY(AgoDom1)=1,AgoDom1+22,AgoDom1+29)</f>
        <v>43339</v>
      </c>
      <c r="D8" s="10">
        <f>IF(DAY(AgoDom1)=1,AgoDom1+23,AgoDom1+30)</f>
        <v>43340</v>
      </c>
      <c r="E8" s="10">
        <f>IF(DAY(AgoDom1)=1,AgoDom1+24,AgoDom1+31)</f>
        <v>43341</v>
      </c>
      <c r="F8" s="10">
        <f>IF(DAY(AgoDom1)=1,AgoDom1+25,AgoDom1+32)</f>
        <v>43342</v>
      </c>
      <c r="G8" s="10">
        <f>IF(DAY(AgoDom1)=1,AgoDom1+26,AgoDom1+33)</f>
        <v>43343</v>
      </c>
      <c r="H8" s="10">
        <f>IF(DAY(AgoDom1)=1,AgoDom1+27,AgoDom1+34)</f>
        <v>43344</v>
      </c>
      <c r="I8" s="10">
        <f>IF(DAY(AgoDom1)=1,AgoDom1+28,AgoDom1+35)</f>
        <v>43345</v>
      </c>
      <c r="J8" s="5"/>
      <c r="K8" s="11"/>
      <c r="L8" s="17"/>
      <c r="M8" s="48"/>
      <c r="N8" s="49"/>
    </row>
    <row r="9" spans="1:14" ht="18" customHeight="1" x14ac:dyDescent="0.25">
      <c r="A9" s="4"/>
      <c r="B9" s="43"/>
      <c r="C9" s="10">
        <f>IF(DAY(AgoDom1)=1,AgoDom1+29,AgoDom1+36)</f>
        <v>43346</v>
      </c>
      <c r="D9" s="10">
        <f>IF(DAY(AgoDom1)=1,AgoDom1+30,AgoDom1+37)</f>
        <v>43347</v>
      </c>
      <c r="E9" s="10">
        <f>IF(DAY(AgoDom1)=1,AgoDom1+31,AgoDom1+38)</f>
        <v>43348</v>
      </c>
      <c r="F9" s="10">
        <f>IF(DAY(AgoDom1)=1,AgoDom1+32,AgoDom1+39)</f>
        <v>43349</v>
      </c>
      <c r="G9" s="10">
        <f>IF(DAY(AgoDom1)=1,AgoDom1+33,AgoDom1+40)</f>
        <v>43350</v>
      </c>
      <c r="H9" s="10">
        <f>IF(DAY(AgoDom1)=1,AgoDom1+34,AgoDom1+41)</f>
        <v>43351</v>
      </c>
      <c r="I9" s="10">
        <f>IF(DAY(AgoDom1)=1,AgoDom1+35,AgoDom1+42)</f>
        <v>43352</v>
      </c>
      <c r="J9" s="5"/>
      <c r="K9" s="12"/>
      <c r="L9" s="18"/>
      <c r="M9" s="52"/>
      <c r="N9" s="53"/>
    </row>
    <row r="10" spans="1:14" ht="18" customHeight="1" x14ac:dyDescent="0.25">
      <c r="A10" s="4"/>
      <c r="B10" s="44"/>
      <c r="C10" s="23"/>
      <c r="D10" s="23"/>
      <c r="E10" s="23"/>
      <c r="F10" s="23"/>
      <c r="G10" s="23"/>
      <c r="H10" s="23"/>
      <c r="I10" s="23"/>
      <c r="J10" s="24"/>
      <c r="K10" s="77" t="s">
        <v>12</v>
      </c>
      <c r="L10" s="16"/>
      <c r="M10" s="54"/>
      <c r="N10" s="55"/>
    </row>
    <row r="11" spans="1:14" ht="18" customHeight="1" x14ac:dyDescent="0.25">
      <c r="A11" s="4"/>
      <c r="B11" s="45" t="s">
        <v>10</v>
      </c>
      <c r="C11" s="46"/>
      <c r="D11" s="46"/>
      <c r="E11" s="46"/>
      <c r="F11" s="46"/>
      <c r="G11" s="46"/>
      <c r="H11" s="46"/>
      <c r="I11" s="46"/>
      <c r="J11" s="47"/>
      <c r="K11" s="78"/>
      <c r="L11" s="17"/>
      <c r="M11" s="48"/>
      <c r="N11" s="49"/>
    </row>
    <row r="12" spans="1:14" ht="18" customHeight="1" x14ac:dyDescent="0.25">
      <c r="A12" s="4"/>
      <c r="B12" s="45"/>
      <c r="C12" s="46"/>
      <c r="D12" s="46"/>
      <c r="E12" s="46"/>
      <c r="F12" s="46"/>
      <c r="G12" s="46"/>
      <c r="H12" s="46"/>
      <c r="I12" s="46"/>
      <c r="J12" s="47"/>
      <c r="K12" s="78"/>
      <c r="L12" s="17"/>
      <c r="M12" s="48"/>
      <c r="N12" s="49"/>
    </row>
    <row r="13" spans="1:14" ht="18" customHeight="1" x14ac:dyDescent="0.25">
      <c r="B13" s="3" t="s">
        <v>11</v>
      </c>
      <c r="C13" s="79" t="s">
        <v>12</v>
      </c>
      <c r="D13" s="81"/>
      <c r="E13" s="79" t="s">
        <v>13</v>
      </c>
      <c r="F13" s="81"/>
      <c r="G13" s="79" t="s">
        <v>14</v>
      </c>
      <c r="H13" s="81"/>
      <c r="I13" s="79" t="s">
        <v>15</v>
      </c>
      <c r="J13" s="80"/>
      <c r="K13" s="11"/>
      <c r="L13" s="17"/>
      <c r="M13" s="48"/>
      <c r="N13" s="49"/>
    </row>
    <row r="14" spans="1:14" ht="18" customHeight="1" x14ac:dyDescent="0.25">
      <c r="B14" s="8"/>
      <c r="C14" s="56"/>
      <c r="D14" s="57"/>
      <c r="E14" s="56"/>
      <c r="F14" s="57"/>
      <c r="G14" s="56"/>
      <c r="H14" s="57"/>
      <c r="I14" s="56"/>
      <c r="J14" s="71"/>
      <c r="K14" s="11"/>
      <c r="L14" s="17"/>
      <c r="M14" s="48"/>
      <c r="N14" s="49"/>
    </row>
    <row r="15" spans="1:14" ht="18" customHeight="1" x14ac:dyDescent="0.25">
      <c r="B15" s="6"/>
      <c r="C15" s="58"/>
      <c r="D15" s="59"/>
      <c r="E15" s="58"/>
      <c r="F15" s="59"/>
      <c r="G15" s="58"/>
      <c r="H15" s="59"/>
      <c r="I15" s="69"/>
      <c r="J15" s="70"/>
      <c r="K15" s="13"/>
      <c r="L15" s="19"/>
      <c r="M15" s="52"/>
      <c r="N15" s="53"/>
    </row>
    <row r="16" spans="1:14" ht="18" customHeight="1" x14ac:dyDescent="0.25">
      <c r="B16" s="8"/>
      <c r="C16" s="56"/>
      <c r="D16" s="57"/>
      <c r="E16" s="56"/>
      <c r="F16" s="57"/>
      <c r="G16" s="56"/>
      <c r="H16" s="57"/>
      <c r="I16" s="65"/>
      <c r="J16" s="66"/>
      <c r="K16" s="91" t="s">
        <v>13</v>
      </c>
      <c r="L16" s="16"/>
      <c r="M16" s="54"/>
      <c r="N16" s="55"/>
    </row>
    <row r="17" spans="2:14" ht="18" customHeight="1" x14ac:dyDescent="0.25">
      <c r="B17" s="6"/>
      <c r="C17" s="58"/>
      <c r="D17" s="59"/>
      <c r="E17" s="58"/>
      <c r="F17" s="59"/>
      <c r="G17" s="58"/>
      <c r="H17" s="59"/>
      <c r="I17" s="69"/>
      <c r="J17" s="70"/>
      <c r="K17" s="92"/>
      <c r="L17" s="17"/>
      <c r="M17" s="48"/>
      <c r="N17" s="49"/>
    </row>
    <row r="18" spans="2:14" ht="18" customHeight="1" x14ac:dyDescent="0.25">
      <c r="B18" s="9"/>
      <c r="C18" s="74"/>
      <c r="D18" s="75"/>
      <c r="E18" s="74"/>
      <c r="F18" s="75"/>
      <c r="G18" s="74"/>
      <c r="H18" s="75"/>
      <c r="I18" s="74"/>
      <c r="J18" s="76"/>
      <c r="K18" s="92"/>
      <c r="L18" s="17"/>
      <c r="M18" s="48"/>
      <c r="N18" s="49"/>
    </row>
    <row r="19" spans="2:14" ht="18" customHeight="1" x14ac:dyDescent="0.25">
      <c r="B19" s="6"/>
      <c r="C19" s="58"/>
      <c r="D19" s="59"/>
      <c r="E19" s="58"/>
      <c r="F19" s="59"/>
      <c r="G19" s="58"/>
      <c r="H19" s="59"/>
      <c r="I19" s="69"/>
      <c r="J19" s="70"/>
      <c r="K19" s="11"/>
      <c r="L19" s="17"/>
      <c r="M19" s="48"/>
      <c r="N19" s="49"/>
    </row>
    <row r="20" spans="2:14" ht="18" customHeight="1" x14ac:dyDescent="0.25">
      <c r="B20" s="8"/>
      <c r="C20" s="56"/>
      <c r="D20" s="57"/>
      <c r="E20" s="56"/>
      <c r="F20" s="57"/>
      <c r="G20" s="56"/>
      <c r="H20" s="57"/>
      <c r="I20" s="56"/>
      <c r="J20" s="71"/>
      <c r="K20" s="11"/>
      <c r="L20" s="17"/>
      <c r="M20" s="48"/>
      <c r="N20" s="49"/>
    </row>
    <row r="21" spans="2:14" ht="18" customHeight="1" x14ac:dyDescent="0.25">
      <c r="B21" s="6"/>
      <c r="C21" s="58"/>
      <c r="D21" s="59"/>
      <c r="E21" s="58"/>
      <c r="F21" s="59"/>
      <c r="G21" s="58"/>
      <c r="H21" s="59"/>
      <c r="I21" s="72"/>
      <c r="J21" s="73"/>
      <c r="K21" s="13"/>
      <c r="L21" s="19"/>
      <c r="M21" s="52"/>
      <c r="N21" s="53"/>
    </row>
    <row r="22" spans="2:14" ht="18" customHeight="1" x14ac:dyDescent="0.25">
      <c r="B22" s="8"/>
      <c r="C22" s="56"/>
      <c r="D22" s="57"/>
      <c r="E22" s="56"/>
      <c r="F22" s="57"/>
      <c r="G22" s="56"/>
      <c r="H22" s="57"/>
      <c r="I22" s="56"/>
      <c r="J22" s="71"/>
      <c r="K22" s="91" t="s">
        <v>14</v>
      </c>
      <c r="L22" s="16"/>
      <c r="M22" s="54"/>
      <c r="N22" s="55"/>
    </row>
    <row r="23" spans="2:14" ht="18" customHeight="1" x14ac:dyDescent="0.25">
      <c r="B23" s="6"/>
      <c r="C23" s="58"/>
      <c r="D23" s="59"/>
      <c r="E23" s="58"/>
      <c r="F23" s="59"/>
      <c r="G23" s="58"/>
      <c r="H23" s="59"/>
      <c r="I23" s="69"/>
      <c r="J23" s="70"/>
      <c r="K23" s="92"/>
      <c r="L23" s="17"/>
      <c r="M23" s="48"/>
      <c r="N23" s="49"/>
    </row>
    <row r="24" spans="2:14" ht="18" customHeight="1" x14ac:dyDescent="0.25">
      <c r="B24" s="8"/>
      <c r="C24" s="56"/>
      <c r="D24" s="57"/>
      <c r="E24" s="56"/>
      <c r="F24" s="57"/>
      <c r="G24" s="56"/>
      <c r="H24" s="57"/>
      <c r="I24" s="56"/>
      <c r="J24" s="71"/>
      <c r="K24" s="92"/>
      <c r="L24" s="17"/>
      <c r="M24" s="48"/>
      <c r="N24" s="49"/>
    </row>
    <row r="25" spans="2:14" ht="18" customHeight="1" x14ac:dyDescent="0.25">
      <c r="B25" s="6"/>
      <c r="C25" s="58"/>
      <c r="D25" s="59"/>
      <c r="E25" s="58"/>
      <c r="F25" s="59"/>
      <c r="G25" s="58"/>
      <c r="H25" s="59"/>
      <c r="I25" s="69"/>
      <c r="J25" s="70"/>
      <c r="K25" s="92"/>
      <c r="L25" s="17"/>
      <c r="M25" s="48"/>
      <c r="N25" s="49"/>
    </row>
    <row r="26" spans="2:14" ht="18" customHeight="1" x14ac:dyDescent="0.25">
      <c r="B26" s="8"/>
      <c r="C26" s="56"/>
      <c r="D26" s="57"/>
      <c r="E26" s="56"/>
      <c r="F26" s="57"/>
      <c r="G26" s="56"/>
      <c r="H26" s="57"/>
      <c r="I26" s="56"/>
      <c r="J26" s="71"/>
      <c r="K26" s="11"/>
      <c r="L26" s="17"/>
      <c r="M26" s="48"/>
      <c r="N26" s="49"/>
    </row>
    <row r="27" spans="2:14" ht="18" customHeight="1" x14ac:dyDescent="0.25">
      <c r="B27" s="6"/>
      <c r="C27" s="58"/>
      <c r="D27" s="59"/>
      <c r="E27" s="58"/>
      <c r="F27" s="59"/>
      <c r="G27" s="58"/>
      <c r="H27" s="59"/>
      <c r="I27" s="69"/>
      <c r="J27" s="70"/>
      <c r="K27" s="13"/>
      <c r="L27" s="19"/>
      <c r="M27" s="52"/>
      <c r="N27" s="53"/>
    </row>
    <row r="28" spans="2:14" ht="18" customHeight="1" x14ac:dyDescent="0.25">
      <c r="B28" s="8"/>
      <c r="C28" s="56"/>
      <c r="D28" s="57"/>
      <c r="E28" s="56"/>
      <c r="F28" s="57"/>
      <c r="G28" s="56"/>
      <c r="H28" s="57"/>
      <c r="I28" s="56"/>
      <c r="J28" s="71"/>
      <c r="K28" s="77" t="s">
        <v>15</v>
      </c>
      <c r="L28" s="16"/>
      <c r="M28" s="54"/>
      <c r="N28" s="55"/>
    </row>
    <row r="29" spans="2:14" ht="18" customHeight="1" x14ac:dyDescent="0.25">
      <c r="B29" s="6"/>
      <c r="C29" s="58"/>
      <c r="D29" s="59"/>
      <c r="E29" s="58"/>
      <c r="F29" s="59"/>
      <c r="G29" s="58"/>
      <c r="H29" s="59"/>
      <c r="I29" s="58"/>
      <c r="J29" s="64"/>
      <c r="K29" s="78"/>
      <c r="L29" s="17"/>
      <c r="M29" s="48"/>
      <c r="N29" s="49"/>
    </row>
    <row r="30" spans="2:14" ht="18" customHeight="1" x14ac:dyDescent="0.25">
      <c r="B30" s="8"/>
      <c r="C30" s="56"/>
      <c r="D30" s="57"/>
      <c r="E30" s="56"/>
      <c r="F30" s="57"/>
      <c r="G30" s="56"/>
      <c r="H30" s="57"/>
      <c r="I30" s="62"/>
      <c r="J30" s="63"/>
      <c r="K30" s="78"/>
      <c r="L30" s="17"/>
      <c r="M30" s="48"/>
      <c r="N30" s="49"/>
    </row>
    <row r="31" spans="2:14" ht="18" customHeight="1" x14ac:dyDescent="0.25">
      <c r="B31" s="6"/>
      <c r="C31" s="58"/>
      <c r="D31" s="59"/>
      <c r="E31" s="58"/>
      <c r="F31" s="59"/>
      <c r="G31" s="58"/>
      <c r="H31" s="59"/>
      <c r="I31" s="58"/>
      <c r="J31" s="64"/>
      <c r="K31" s="14"/>
      <c r="L31" s="17"/>
      <c r="M31" s="48"/>
      <c r="N31" s="49"/>
    </row>
    <row r="32" spans="2:14" ht="18" customHeight="1" x14ac:dyDescent="0.25">
      <c r="B32" s="8"/>
      <c r="C32" s="56"/>
      <c r="D32" s="57"/>
      <c r="E32" s="56"/>
      <c r="F32" s="57"/>
      <c r="G32" s="56"/>
      <c r="H32" s="57"/>
      <c r="I32" s="65"/>
      <c r="J32" s="66"/>
      <c r="K32" s="14"/>
      <c r="L32" s="17"/>
      <c r="M32" s="48"/>
      <c r="N32" s="49"/>
    </row>
    <row r="33" spans="2:14" ht="18" customHeight="1" x14ac:dyDescent="0.25">
      <c r="B33" s="7"/>
      <c r="C33" s="60"/>
      <c r="D33" s="61"/>
      <c r="E33" s="60"/>
      <c r="F33" s="61"/>
      <c r="G33" s="60"/>
      <c r="H33" s="61"/>
      <c r="I33" s="67"/>
      <c r="J33" s="68"/>
      <c r="K33" s="15"/>
      <c r="L33" s="20"/>
      <c r="M33" s="50"/>
      <c r="N33" s="51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7" priority="3" stopIfTrue="1">
      <formula>DAY(C4)&gt;8</formula>
    </cfRule>
  </conditionalFormatting>
  <conditionalFormatting sqref="C8:I10">
    <cfRule type="expression" dxfId="26" priority="2" stopIfTrue="1">
      <formula>AND(DAY(C8)&gt;=1,DAY(C8)&lt;=15)</formula>
    </cfRule>
  </conditionalFormatting>
  <conditionalFormatting sqref="C4:I9">
    <cfRule type="expression" dxfId="25" priority="4">
      <formula>VLOOKUP(DAY(C4),DíasDeTareas,1,FALSE)=DAY(C4)</formula>
    </cfRule>
  </conditionalFormatting>
  <conditionalFormatting sqref="B14:J33">
    <cfRule type="expression" dxfId="2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L35" sqref="L35"/>
    </sheetView>
  </sheetViews>
  <sheetFormatPr baseColWidth="10" defaultColWidth="8.6640625" defaultRowHeight="16.5" customHeight="1" x14ac:dyDescent="0.25"/>
  <cols>
    <col min="1" max="1" width="2.33203125" style="1" customWidth="1"/>
    <col min="2" max="2" width="12.6640625" style="1" customWidth="1"/>
    <col min="3" max="10" width="6.6640625" style="1" customWidth="1"/>
    <col min="11" max="11" width="7.33203125" style="1" customWidth="1"/>
    <col min="12" max="12" width="3.88671875" customWidth="1"/>
    <col min="13" max="13" width="51.44140625" style="1" customWidth="1"/>
    <col min="14" max="14" width="10.6640625" style="1" customWidth="1"/>
    <col min="15" max="15" width="2.33203125" customWidth="1"/>
    <col min="16" max="22" width="8.88671875" customWidth="1"/>
    <col min="42" max="16384" width="8.6640625" style="1"/>
  </cols>
  <sheetData>
    <row r="1" spans="1:14" ht="11.25" customHeight="1" x14ac:dyDescent="0.25"/>
    <row r="2" spans="1:14" ht="18" customHeight="1" x14ac:dyDescent="0.25">
      <c r="A2" s="4"/>
      <c r="B2" s="42" t="s">
        <v>16</v>
      </c>
      <c r="C2" s="21"/>
      <c r="D2" s="21"/>
      <c r="E2" s="21"/>
      <c r="F2" s="21"/>
      <c r="G2" s="21"/>
      <c r="H2" s="21"/>
      <c r="I2" s="21"/>
      <c r="J2" s="22"/>
      <c r="K2" s="82" t="s">
        <v>3</v>
      </c>
      <c r="L2" s="83">
        <v>2013</v>
      </c>
      <c r="M2" s="83"/>
      <c r="N2" s="25"/>
    </row>
    <row r="3" spans="1:14" ht="21" customHeight="1" x14ac:dyDescent="0.25">
      <c r="A3" s="4"/>
      <c r="B3" s="4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84"/>
      <c r="L3" s="85"/>
      <c r="M3" s="85"/>
      <c r="N3" s="26"/>
    </row>
    <row r="4" spans="1:14" ht="18" customHeight="1" x14ac:dyDescent="0.25">
      <c r="A4" s="4"/>
      <c r="B4" s="43"/>
      <c r="C4" s="10">
        <f>IF(DAY(SepDom1)=1,SepDom1-6,SepDom1+1)</f>
        <v>43339</v>
      </c>
      <c r="D4" s="10">
        <f>IF(DAY(SepDom1)=1,SepDom1-5,SepDom1+2)</f>
        <v>43340</v>
      </c>
      <c r="E4" s="10">
        <f>IF(DAY(SepDom1)=1,SepDom1-4,SepDom1+3)</f>
        <v>43341</v>
      </c>
      <c r="F4" s="10">
        <f>IF(DAY(SepDom1)=1,SepDom1-3,SepDom1+4)</f>
        <v>43342</v>
      </c>
      <c r="G4" s="10">
        <f>IF(DAY(SepDom1)=1,SepDom1-2,SepDom1+5)</f>
        <v>43343</v>
      </c>
      <c r="H4" s="10">
        <f>IF(DAY(SepDom1)=1,SepDom1-1,SepDom1+6)</f>
        <v>43344</v>
      </c>
      <c r="I4" s="10">
        <f>IF(DAY(SepDom1)=1,SepDom1,SepDom1+7)</f>
        <v>43345</v>
      </c>
      <c r="J4" s="5"/>
      <c r="K4" s="86" t="s">
        <v>11</v>
      </c>
      <c r="L4" s="16"/>
      <c r="M4" s="87"/>
      <c r="N4" s="88"/>
    </row>
    <row r="5" spans="1:14" ht="18" customHeight="1" x14ac:dyDescent="0.25">
      <c r="A5" s="4"/>
      <c r="B5" s="43"/>
      <c r="C5" s="10">
        <f>IF(DAY(SepDom1)=1,SepDom1+1,SepDom1+8)</f>
        <v>43346</v>
      </c>
      <c r="D5" s="10">
        <f>IF(DAY(SepDom1)=1,SepDom1+2,SepDom1+9)</f>
        <v>43347</v>
      </c>
      <c r="E5" s="10">
        <f>IF(DAY(SepDom1)=1,SepDom1+3,SepDom1+10)</f>
        <v>43348</v>
      </c>
      <c r="F5" s="10">
        <f>IF(DAY(SepDom1)=1,SepDom1+4,SepDom1+11)</f>
        <v>43349</v>
      </c>
      <c r="G5" s="10">
        <f>IF(DAY(SepDom1)=1,SepDom1+5,SepDom1+12)</f>
        <v>43350</v>
      </c>
      <c r="H5" s="10">
        <f>IF(DAY(SepDom1)=1,SepDom1+6,SepDom1+13)</f>
        <v>43351</v>
      </c>
      <c r="I5" s="10">
        <f>IF(DAY(SepDom1)=1,SepDom1+7,SepDom1+14)</f>
        <v>43352</v>
      </c>
      <c r="J5" s="5"/>
      <c r="K5" s="78"/>
      <c r="L5" s="17"/>
      <c r="M5" s="48"/>
      <c r="N5" s="49"/>
    </row>
    <row r="6" spans="1:14" ht="18" customHeight="1" x14ac:dyDescent="0.25">
      <c r="A6" s="4"/>
      <c r="B6" s="43"/>
      <c r="C6" s="10">
        <f>IF(DAY(SepDom1)=1,SepDom1+8,SepDom1+15)</f>
        <v>43353</v>
      </c>
      <c r="D6" s="10">
        <f>IF(DAY(SepDom1)=1,SepDom1+9,SepDom1+16)</f>
        <v>43354</v>
      </c>
      <c r="E6" s="10">
        <f>IF(DAY(SepDom1)=1,SepDom1+10,SepDom1+17)</f>
        <v>43355</v>
      </c>
      <c r="F6" s="10">
        <f>IF(DAY(SepDom1)=1,SepDom1+11,SepDom1+18)</f>
        <v>43356</v>
      </c>
      <c r="G6" s="10">
        <f>IF(DAY(SepDom1)=1,SepDom1+12,SepDom1+19)</f>
        <v>43357</v>
      </c>
      <c r="H6" s="10">
        <f>IF(DAY(SepDom1)=1,SepDom1+13,SepDom1+20)</f>
        <v>43358</v>
      </c>
      <c r="I6" s="10">
        <f>IF(DAY(SepDom1)=1,SepDom1+14,SepDom1+21)</f>
        <v>43359</v>
      </c>
      <c r="J6" s="5"/>
      <c r="K6" s="78"/>
      <c r="L6" s="17"/>
      <c r="M6" s="48"/>
      <c r="N6" s="49"/>
    </row>
    <row r="7" spans="1:14" ht="18" customHeight="1" x14ac:dyDescent="0.25">
      <c r="A7" s="4"/>
      <c r="B7" s="43"/>
      <c r="C7" s="10">
        <f>IF(DAY(SepDom1)=1,SepDom1+15,SepDom1+22)</f>
        <v>43360</v>
      </c>
      <c r="D7" s="10">
        <f>IF(DAY(SepDom1)=1,SepDom1+16,SepDom1+23)</f>
        <v>43361</v>
      </c>
      <c r="E7" s="10">
        <f>IF(DAY(SepDom1)=1,SepDom1+17,SepDom1+24)</f>
        <v>43362</v>
      </c>
      <c r="F7" s="10">
        <f>IF(DAY(SepDom1)=1,SepDom1+18,SepDom1+25)</f>
        <v>43363</v>
      </c>
      <c r="G7" s="10">
        <f>IF(DAY(SepDom1)=1,SepDom1+19,SepDom1+26)</f>
        <v>43364</v>
      </c>
      <c r="H7" s="10">
        <f>IF(DAY(SepDom1)=1,SepDom1+20,SepDom1+27)</f>
        <v>43365</v>
      </c>
      <c r="I7" s="10">
        <f>IF(DAY(SepDom1)=1,SepDom1+21,SepDom1+28)</f>
        <v>43366</v>
      </c>
      <c r="J7" s="5"/>
      <c r="K7" s="11"/>
      <c r="L7" s="17"/>
      <c r="M7" s="48"/>
      <c r="N7" s="49"/>
    </row>
    <row r="8" spans="1:14" ht="18.75" customHeight="1" x14ac:dyDescent="0.25">
      <c r="A8" s="4"/>
      <c r="B8" s="43"/>
      <c r="C8" s="10">
        <f>IF(DAY(SepDom1)=1,SepDom1+22,SepDom1+29)</f>
        <v>43367</v>
      </c>
      <c r="D8" s="10">
        <f>IF(DAY(SepDom1)=1,SepDom1+23,SepDom1+30)</f>
        <v>43368</v>
      </c>
      <c r="E8" s="10">
        <f>IF(DAY(SepDom1)=1,SepDom1+24,SepDom1+31)</f>
        <v>43369</v>
      </c>
      <c r="F8" s="10">
        <f>IF(DAY(SepDom1)=1,SepDom1+25,SepDom1+32)</f>
        <v>43370</v>
      </c>
      <c r="G8" s="10">
        <f>IF(DAY(SepDom1)=1,SepDom1+26,SepDom1+33)</f>
        <v>43371</v>
      </c>
      <c r="H8" s="10">
        <f>IF(DAY(SepDom1)=1,SepDom1+27,SepDom1+34)</f>
        <v>43372</v>
      </c>
      <c r="I8" s="10">
        <f>IF(DAY(SepDom1)=1,SepDom1+28,SepDom1+35)</f>
        <v>43373</v>
      </c>
      <c r="J8" s="5"/>
      <c r="K8" s="11"/>
      <c r="L8" s="17"/>
      <c r="M8" s="48"/>
      <c r="N8" s="49"/>
    </row>
    <row r="9" spans="1:14" ht="18" customHeight="1" x14ac:dyDescent="0.25">
      <c r="A9" s="4"/>
      <c r="B9" s="43"/>
      <c r="C9" s="10">
        <f>IF(DAY(SepDom1)=1,SepDom1+29,SepDom1+36)</f>
        <v>43374</v>
      </c>
      <c r="D9" s="10">
        <f>IF(DAY(SepDom1)=1,SepDom1+30,SepDom1+37)</f>
        <v>43375</v>
      </c>
      <c r="E9" s="10">
        <f>IF(DAY(SepDom1)=1,SepDom1+31,SepDom1+38)</f>
        <v>43376</v>
      </c>
      <c r="F9" s="10">
        <f>IF(DAY(SepDom1)=1,SepDom1+32,SepDom1+39)</f>
        <v>43377</v>
      </c>
      <c r="G9" s="10">
        <f>IF(DAY(SepDom1)=1,SepDom1+33,SepDom1+40)</f>
        <v>43378</v>
      </c>
      <c r="H9" s="10">
        <f>IF(DAY(SepDom1)=1,SepDom1+34,SepDom1+41)</f>
        <v>43379</v>
      </c>
      <c r="I9" s="10">
        <f>IF(DAY(SepDom1)=1,SepDom1+35,SepDom1+42)</f>
        <v>43380</v>
      </c>
      <c r="J9" s="5"/>
      <c r="K9" s="12"/>
      <c r="L9" s="18"/>
      <c r="M9" s="52"/>
      <c r="N9" s="53"/>
    </row>
    <row r="10" spans="1:14" ht="18" customHeight="1" x14ac:dyDescent="0.25">
      <c r="A10" s="4"/>
      <c r="B10" s="44"/>
      <c r="C10" s="23"/>
      <c r="D10" s="23"/>
      <c r="E10" s="23"/>
      <c r="F10" s="23"/>
      <c r="G10" s="23"/>
      <c r="H10" s="23"/>
      <c r="I10" s="23"/>
      <c r="J10" s="24"/>
      <c r="K10" s="77" t="s">
        <v>12</v>
      </c>
      <c r="L10" s="16"/>
      <c r="M10" s="54"/>
      <c r="N10" s="55"/>
    </row>
    <row r="11" spans="1:14" ht="18" customHeight="1" x14ac:dyDescent="0.25">
      <c r="A11" s="4"/>
      <c r="B11" s="45" t="s">
        <v>10</v>
      </c>
      <c r="C11" s="46"/>
      <c r="D11" s="46"/>
      <c r="E11" s="46"/>
      <c r="F11" s="46"/>
      <c r="G11" s="46"/>
      <c r="H11" s="46"/>
      <c r="I11" s="46"/>
      <c r="J11" s="47"/>
      <c r="K11" s="78"/>
      <c r="L11" s="17"/>
      <c r="M11" s="48"/>
      <c r="N11" s="49"/>
    </row>
    <row r="12" spans="1:14" ht="18" customHeight="1" x14ac:dyDescent="0.25">
      <c r="A12" s="4"/>
      <c r="B12" s="45"/>
      <c r="C12" s="46"/>
      <c r="D12" s="46"/>
      <c r="E12" s="46"/>
      <c r="F12" s="46"/>
      <c r="G12" s="46"/>
      <c r="H12" s="46"/>
      <c r="I12" s="46"/>
      <c r="J12" s="47"/>
      <c r="K12" s="78"/>
      <c r="L12" s="17"/>
      <c r="M12" s="48"/>
      <c r="N12" s="49"/>
    </row>
    <row r="13" spans="1:14" ht="18" customHeight="1" x14ac:dyDescent="0.25">
      <c r="B13" s="3" t="s">
        <v>11</v>
      </c>
      <c r="C13" s="79" t="s">
        <v>12</v>
      </c>
      <c r="D13" s="81"/>
      <c r="E13" s="79" t="s">
        <v>13</v>
      </c>
      <c r="F13" s="81"/>
      <c r="G13" s="79" t="s">
        <v>14</v>
      </c>
      <c r="H13" s="81"/>
      <c r="I13" s="79" t="s">
        <v>15</v>
      </c>
      <c r="J13" s="80"/>
      <c r="K13" s="11"/>
      <c r="L13" s="17"/>
      <c r="M13" s="48"/>
      <c r="N13" s="49"/>
    </row>
    <row r="14" spans="1:14" ht="18" customHeight="1" x14ac:dyDescent="0.25">
      <c r="B14" s="8"/>
      <c r="C14" s="56"/>
      <c r="D14" s="57"/>
      <c r="E14" s="56"/>
      <c r="F14" s="57"/>
      <c r="G14" s="56"/>
      <c r="H14" s="57"/>
      <c r="I14" s="56"/>
      <c r="J14" s="71"/>
      <c r="K14" s="11"/>
      <c r="L14" s="17"/>
      <c r="M14" s="48"/>
      <c r="N14" s="49"/>
    </row>
    <row r="15" spans="1:14" ht="18" customHeight="1" x14ac:dyDescent="0.25">
      <c r="B15" s="6"/>
      <c r="C15" s="58"/>
      <c r="D15" s="59"/>
      <c r="E15" s="58"/>
      <c r="F15" s="59"/>
      <c r="G15" s="58"/>
      <c r="H15" s="59"/>
      <c r="I15" s="69"/>
      <c r="J15" s="70"/>
      <c r="K15" s="13"/>
      <c r="L15" s="19"/>
      <c r="M15" s="52"/>
      <c r="N15" s="53"/>
    </row>
    <row r="16" spans="1:14" ht="18" customHeight="1" x14ac:dyDescent="0.25">
      <c r="B16" s="8"/>
      <c r="C16" s="56"/>
      <c r="D16" s="57"/>
      <c r="E16" s="56"/>
      <c r="F16" s="57"/>
      <c r="G16" s="56"/>
      <c r="H16" s="57"/>
      <c r="I16" s="65"/>
      <c r="J16" s="66"/>
      <c r="K16" s="91" t="s">
        <v>13</v>
      </c>
      <c r="L16" s="16"/>
      <c r="M16" s="54"/>
      <c r="N16" s="55"/>
    </row>
    <row r="17" spans="2:14" ht="18" customHeight="1" x14ac:dyDescent="0.25">
      <c r="B17" s="6"/>
      <c r="C17" s="58"/>
      <c r="D17" s="59"/>
      <c r="E17" s="58"/>
      <c r="F17" s="59"/>
      <c r="G17" s="58"/>
      <c r="H17" s="59"/>
      <c r="I17" s="69"/>
      <c r="J17" s="70"/>
      <c r="K17" s="92"/>
      <c r="L17" s="17"/>
      <c r="M17" s="48"/>
      <c r="N17" s="49"/>
    </row>
    <row r="18" spans="2:14" ht="18" customHeight="1" x14ac:dyDescent="0.25">
      <c r="B18" s="9"/>
      <c r="C18" s="74"/>
      <c r="D18" s="75"/>
      <c r="E18" s="74"/>
      <c r="F18" s="75"/>
      <c r="G18" s="74"/>
      <c r="H18" s="75"/>
      <c r="I18" s="74"/>
      <c r="J18" s="76"/>
      <c r="K18" s="92"/>
      <c r="L18" s="17"/>
      <c r="M18" s="48"/>
      <c r="N18" s="49"/>
    </row>
    <row r="19" spans="2:14" ht="18" customHeight="1" x14ac:dyDescent="0.25">
      <c r="B19" s="6"/>
      <c r="C19" s="58"/>
      <c r="D19" s="59"/>
      <c r="E19" s="58"/>
      <c r="F19" s="59"/>
      <c r="G19" s="58"/>
      <c r="H19" s="59"/>
      <c r="I19" s="69"/>
      <c r="J19" s="70"/>
      <c r="K19" s="11"/>
      <c r="L19" s="17"/>
      <c r="M19" s="48"/>
      <c r="N19" s="49"/>
    </row>
    <row r="20" spans="2:14" ht="18" customHeight="1" x14ac:dyDescent="0.25">
      <c r="B20" s="8"/>
      <c r="C20" s="56"/>
      <c r="D20" s="57"/>
      <c r="E20" s="56"/>
      <c r="F20" s="57"/>
      <c r="G20" s="56"/>
      <c r="H20" s="57"/>
      <c r="I20" s="56"/>
      <c r="J20" s="71"/>
      <c r="K20" s="11"/>
      <c r="L20" s="17"/>
      <c r="M20" s="48"/>
      <c r="N20" s="49"/>
    </row>
    <row r="21" spans="2:14" ht="18" customHeight="1" x14ac:dyDescent="0.25">
      <c r="B21" s="6"/>
      <c r="C21" s="58"/>
      <c r="D21" s="59"/>
      <c r="E21" s="58"/>
      <c r="F21" s="59"/>
      <c r="G21" s="58"/>
      <c r="H21" s="59"/>
      <c r="I21" s="72"/>
      <c r="J21" s="73"/>
      <c r="K21" s="13"/>
      <c r="L21" s="19"/>
      <c r="M21" s="52"/>
      <c r="N21" s="53"/>
    </row>
    <row r="22" spans="2:14" ht="18" customHeight="1" x14ac:dyDescent="0.25">
      <c r="B22" s="8"/>
      <c r="C22" s="56"/>
      <c r="D22" s="57"/>
      <c r="E22" s="56"/>
      <c r="F22" s="57"/>
      <c r="G22" s="56"/>
      <c r="H22" s="57"/>
      <c r="I22" s="56"/>
      <c r="J22" s="71"/>
      <c r="K22" s="91" t="s">
        <v>14</v>
      </c>
      <c r="L22" s="16"/>
      <c r="M22" s="54"/>
      <c r="N22" s="55"/>
    </row>
    <row r="23" spans="2:14" ht="18" customHeight="1" x14ac:dyDescent="0.25">
      <c r="B23" s="6"/>
      <c r="C23" s="58"/>
      <c r="D23" s="59"/>
      <c r="E23" s="58"/>
      <c r="F23" s="59"/>
      <c r="G23" s="58"/>
      <c r="H23" s="59"/>
      <c r="I23" s="69"/>
      <c r="J23" s="70"/>
      <c r="K23" s="92"/>
      <c r="L23" s="17"/>
      <c r="M23" s="48"/>
      <c r="N23" s="49"/>
    </row>
    <row r="24" spans="2:14" ht="18" customHeight="1" x14ac:dyDescent="0.25">
      <c r="B24" s="8"/>
      <c r="C24" s="56"/>
      <c r="D24" s="57"/>
      <c r="E24" s="56"/>
      <c r="F24" s="57"/>
      <c r="G24" s="56"/>
      <c r="H24" s="57"/>
      <c r="I24" s="56"/>
      <c r="J24" s="71"/>
      <c r="K24" s="92"/>
      <c r="L24" s="17"/>
      <c r="M24" s="48"/>
      <c r="N24" s="49"/>
    </row>
    <row r="25" spans="2:14" ht="18" customHeight="1" x14ac:dyDescent="0.25">
      <c r="B25" s="6"/>
      <c r="C25" s="58"/>
      <c r="D25" s="59"/>
      <c r="E25" s="58"/>
      <c r="F25" s="59"/>
      <c r="G25" s="58"/>
      <c r="H25" s="59"/>
      <c r="I25" s="69"/>
      <c r="J25" s="70"/>
      <c r="K25" s="92"/>
      <c r="L25" s="17"/>
      <c r="M25" s="48"/>
      <c r="N25" s="49"/>
    </row>
    <row r="26" spans="2:14" ht="18" customHeight="1" x14ac:dyDescent="0.25">
      <c r="B26" s="8"/>
      <c r="C26" s="56"/>
      <c r="D26" s="57"/>
      <c r="E26" s="56"/>
      <c r="F26" s="57"/>
      <c r="G26" s="56"/>
      <c r="H26" s="57"/>
      <c r="I26" s="56"/>
      <c r="J26" s="71"/>
      <c r="K26" s="11"/>
      <c r="L26" s="17"/>
      <c r="M26" s="48"/>
      <c r="N26" s="49"/>
    </row>
    <row r="27" spans="2:14" ht="18" customHeight="1" x14ac:dyDescent="0.25">
      <c r="B27" s="6"/>
      <c r="C27" s="58"/>
      <c r="D27" s="59"/>
      <c r="E27" s="58"/>
      <c r="F27" s="59"/>
      <c r="G27" s="58"/>
      <c r="H27" s="59"/>
      <c r="I27" s="69"/>
      <c r="J27" s="70"/>
      <c r="K27" s="13"/>
      <c r="L27" s="19"/>
      <c r="M27" s="52"/>
      <c r="N27" s="53"/>
    </row>
    <row r="28" spans="2:14" ht="18" customHeight="1" x14ac:dyDescent="0.25">
      <c r="B28" s="8"/>
      <c r="C28" s="56"/>
      <c r="D28" s="57"/>
      <c r="E28" s="56"/>
      <c r="F28" s="57"/>
      <c r="G28" s="56"/>
      <c r="H28" s="57"/>
      <c r="I28" s="56"/>
      <c r="J28" s="71"/>
      <c r="K28" s="77" t="s">
        <v>15</v>
      </c>
      <c r="L28" s="16"/>
      <c r="M28" s="54"/>
      <c r="N28" s="55"/>
    </row>
    <row r="29" spans="2:14" ht="18" customHeight="1" x14ac:dyDescent="0.25">
      <c r="B29" s="6"/>
      <c r="C29" s="58"/>
      <c r="D29" s="59"/>
      <c r="E29" s="58"/>
      <c r="F29" s="59"/>
      <c r="G29" s="58"/>
      <c r="H29" s="59"/>
      <c r="I29" s="58"/>
      <c r="J29" s="64"/>
      <c r="K29" s="78"/>
      <c r="L29" s="17"/>
      <c r="M29" s="48"/>
      <c r="N29" s="49"/>
    </row>
    <row r="30" spans="2:14" ht="18" customHeight="1" x14ac:dyDescent="0.25">
      <c r="B30" s="8"/>
      <c r="C30" s="56"/>
      <c r="D30" s="57"/>
      <c r="E30" s="56"/>
      <c r="F30" s="57"/>
      <c r="G30" s="56"/>
      <c r="H30" s="57"/>
      <c r="I30" s="62"/>
      <c r="J30" s="63"/>
      <c r="K30" s="78"/>
      <c r="L30" s="17"/>
      <c r="M30" s="48"/>
      <c r="N30" s="49"/>
    </row>
    <row r="31" spans="2:14" ht="18" customHeight="1" x14ac:dyDescent="0.25">
      <c r="B31" s="6"/>
      <c r="C31" s="58"/>
      <c r="D31" s="59"/>
      <c r="E31" s="58"/>
      <c r="F31" s="59"/>
      <c r="G31" s="58"/>
      <c r="H31" s="59"/>
      <c r="I31" s="58"/>
      <c r="J31" s="64"/>
      <c r="K31" s="14"/>
      <c r="L31" s="17"/>
      <c r="M31" s="48"/>
      <c r="N31" s="49"/>
    </row>
    <row r="32" spans="2:14" ht="18" customHeight="1" x14ac:dyDescent="0.25">
      <c r="B32" s="8"/>
      <c r="C32" s="56"/>
      <c r="D32" s="57"/>
      <c r="E32" s="56"/>
      <c r="F32" s="57"/>
      <c r="G32" s="56"/>
      <c r="H32" s="57"/>
      <c r="I32" s="65"/>
      <c r="J32" s="66"/>
      <c r="K32" s="14"/>
      <c r="L32" s="17"/>
      <c r="M32" s="48"/>
      <c r="N32" s="49"/>
    </row>
    <row r="33" spans="2:14" ht="18" customHeight="1" x14ac:dyDescent="0.25">
      <c r="B33" s="7"/>
      <c r="C33" s="60"/>
      <c r="D33" s="61"/>
      <c r="E33" s="60"/>
      <c r="F33" s="61"/>
      <c r="G33" s="60"/>
      <c r="H33" s="61"/>
      <c r="I33" s="67"/>
      <c r="J33" s="68"/>
      <c r="K33" s="15"/>
      <c r="L33" s="20"/>
      <c r="M33" s="50"/>
      <c r="N33" s="51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3" priority="3" stopIfTrue="1">
      <formula>DAY(C4)&gt;8</formula>
    </cfRule>
  </conditionalFormatting>
  <conditionalFormatting sqref="C8:I10">
    <cfRule type="expression" dxfId="22" priority="2" stopIfTrue="1">
      <formula>AND(DAY(C8)&gt;=1,DAY(C8)&lt;=15)</formula>
    </cfRule>
  </conditionalFormatting>
  <conditionalFormatting sqref="C4:I9">
    <cfRule type="expression" dxfId="21" priority="4">
      <formula>VLOOKUP(DAY(C4),DíasDeTareas,1,FALSE)=DAY(C4)</formula>
    </cfRule>
  </conditionalFormatting>
  <conditionalFormatting sqref="B14:J33">
    <cfRule type="expression" dxfId="2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28</vt:i4>
      </vt:variant>
    </vt:vector>
  </HeadingPairs>
  <TitlesOfParts>
    <vt:vector size="40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ENERO 2019</vt:lpstr>
      <vt:lpstr>FEBRERO 2019</vt:lpstr>
      <vt:lpstr>MARZO 2019</vt:lpstr>
      <vt:lpstr>Año_Calendario</vt:lpstr>
      <vt:lpstr>Abril!Área_de_impresión</vt:lpstr>
      <vt:lpstr>Agosto!Área_de_impresión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Septiembre!Área_de_impresión</vt:lpstr>
      <vt:lpstr>Abril!DíasDeTareas</vt:lpstr>
      <vt:lpstr>Agosto!DíasDeTareas</vt:lpstr>
      <vt:lpstr>Febrero!DíasDeTareas</vt:lpstr>
      <vt:lpstr>Julio!DíasDeTareas</vt:lpstr>
      <vt:lpstr>Junio!DíasDeTareas</vt:lpstr>
      <vt:lpstr>Marzo!DíasDeTareas</vt:lpstr>
      <vt:lpstr>Mayo!DíasDeTareas</vt:lpstr>
      <vt:lpstr>Septiembre!DíasDeTareas</vt:lpstr>
      <vt:lpstr>DíasDeTareas</vt:lpstr>
      <vt:lpstr>Abril!TablaFechasImportantes</vt:lpstr>
      <vt:lpstr>Agosto!TablaFechasImportantes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Comunicación Social</cp:lastModifiedBy>
  <cp:lastPrinted>2019-03-04T16:33:42Z</cp:lastPrinted>
  <dcterms:created xsi:type="dcterms:W3CDTF">2015-11-13T18:10:35Z</dcterms:created>
  <dcterms:modified xsi:type="dcterms:W3CDTF">2019-03-04T17:04:10Z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