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0" yWindow="0" windowWidth="20490" windowHeight="7755" tabRatio="690" activeTab="6"/>
  </bookViews>
  <sheets>
    <sheet name="Enero" sheetId="1" r:id="rId1"/>
    <sheet name="Febrero" sheetId="6" r:id="rId2"/>
    <sheet name="Marzo" sheetId="7" r:id="rId3"/>
    <sheet name="INFORME TRIMESTRAL" sheetId="18" r:id="rId4"/>
    <sheet name="Abril" sheetId="8" r:id="rId5"/>
    <sheet name="Mayo" sheetId="9" r:id="rId6"/>
    <sheet name="Junio" sheetId="10" r:id="rId7"/>
    <sheet name="Julio" sheetId="11" r:id="rId8"/>
    <sheet name="Agosto" sheetId="12" r:id="rId9"/>
    <sheet name="Septiembre" sheetId="13" r:id="rId10"/>
    <sheet name="Octubre" sheetId="14" r:id="rId11"/>
    <sheet name="Noviembre" sheetId="15" r:id="rId12"/>
    <sheet name="Diciembre" sheetId="16" r:id="rId13"/>
  </sheets>
  <definedNames>
    <definedName name="AbrDom1">DATE(Año_Calendario,4,1)-WEEKDAY(DATE(Año_Calendario,4,1))+1</definedName>
    <definedName name="AgoDom1">DATE(Año_Calendario,8,1)-WEEKDAY(DATE(Año_Calendario,8,1))+1</definedName>
    <definedName name="Año_Calendario">Enero!$N$2</definedName>
    <definedName name="_xlnm.Print_Area" localSheetId="4">Abril!$A$1:$M$50</definedName>
    <definedName name="_xlnm.Print_Area" localSheetId="8">Agosto!$A$1:$M$50</definedName>
    <definedName name="_xlnm.Print_Area" localSheetId="12">Diciembre!$A$1:$M$50</definedName>
    <definedName name="_xlnm.Print_Area" localSheetId="0">Enero!$A$1:$M$50</definedName>
    <definedName name="_xlnm.Print_Area" localSheetId="1">Febrero!$A$1:$M$50</definedName>
    <definedName name="_xlnm.Print_Area" localSheetId="7">Julio!$A$1:$M$50</definedName>
    <definedName name="_xlnm.Print_Area" localSheetId="6">Junio!$A$1:$M$50</definedName>
    <definedName name="_xlnm.Print_Area" localSheetId="2">Marzo!$A$1:$M$50</definedName>
    <definedName name="_xlnm.Print_Area" localSheetId="5">Mayo!$A$1:$M$50</definedName>
    <definedName name="_xlnm.Print_Area" localSheetId="11">Noviembre!$A$1:$M$50</definedName>
    <definedName name="_xlnm.Print_Area" localSheetId="10">Octubre!$A$1:$M$50</definedName>
    <definedName name="_xlnm.Print_Area" localSheetId="9">Septiembre!$A$1:$M$50</definedName>
    <definedName name="DíasDeTareas" localSheetId="4">Abril!$L$4:$L$33</definedName>
    <definedName name="DíasDeTareas" localSheetId="8">Agosto!$L$4:$L$33</definedName>
    <definedName name="DíasDeTareas" localSheetId="12">Diciembre!$L$4:$L$33</definedName>
    <definedName name="DíasDeTareas" localSheetId="1">Febrero!$L$4:$L$33</definedName>
    <definedName name="DíasDeTareas" localSheetId="7">Julio!$L$4:$L$33</definedName>
    <definedName name="DíasDeTareas" localSheetId="6">Junio!$L$4:$L$33</definedName>
    <definedName name="DíasDeTareas" localSheetId="2">Marzo!$L$4:$L$33</definedName>
    <definedName name="DíasDeTareas" localSheetId="5">Mayo!$L$4:$L$33</definedName>
    <definedName name="DíasDeTareas" localSheetId="11">Noviembre!$L$4:$L$33</definedName>
    <definedName name="DíasDeTareas" localSheetId="10">Octubre!$L$4:$L$33</definedName>
    <definedName name="DíasDeTareas" localSheetId="9">Septiembre!$L$4:$L$33</definedName>
    <definedName name="DíasDeTareas">Enero!$L$4:$L$33</definedName>
    <definedName name="DicDom1">DATE(Año_Calendario,12,1)-WEEKDAY(DATE(Año_Calendario,12,1))+1</definedName>
    <definedName name="FebDom1">DATE(Año_Calendario,2,1)-WEEKDAY(DATE(Año_Calendario,2,1))+1</definedName>
    <definedName name="JanSun1">DATE(Año_Calendario,1,1)-WEEKDAY(DATE(Año_Calendario,1,1))+1</definedName>
    <definedName name="JulDom1">DATE(Año_Calendario,7,1)-WEEKDAY(DATE(Año_Calendario,7,1))+1</definedName>
    <definedName name="JunDom1">DATE(Año_Calendario,6,1)-WEEKDAY(DATE(Año_Calendario,6,1))+1</definedName>
    <definedName name="MarDom1">DATE(Año_Calendario,3,1)-WEEKDAY(DATE(Año_Calendario,3,1))+1</definedName>
    <definedName name="MayDom1">DATE(Año_Calendario,5,1)-WEEKDAY(DATE(Año_Calendario,5,1))+1</definedName>
    <definedName name="NovDom1">DATE(Año_Calendario,11,1)-WEEKDAY(DATE(Año_Calendario,11,1))+1</definedName>
    <definedName name="OctDom1">DATE(Año_Calendario,10,1)-WEEKDAY(DATE(Año_Calendario,10,1))+1</definedName>
    <definedName name="SepDom1">DATE(Año_Calendario,9,1)-WEEKDAY(DATE(Año_Calendario,9,1))+1</definedName>
    <definedName name="TablaFechasImportantes" localSheetId="4">Abril!$L$4:$M$8</definedName>
    <definedName name="TablaFechasImportantes" localSheetId="8">Agosto!$L$4:$M$8</definedName>
    <definedName name="TablaFechasImportantes" localSheetId="12">Diciembre!$L$4:$M$8</definedName>
    <definedName name="TablaFechasImportantes" localSheetId="1">Febrero!$L$4:$M$8</definedName>
    <definedName name="TablaFechasImportantes" localSheetId="7">Julio!$L$4:$M$8</definedName>
    <definedName name="TablaFechasImportantes" localSheetId="6">Junio!$L$4:$M$8</definedName>
    <definedName name="TablaFechasImportantes" localSheetId="2">Marzo!$L$4:$M$8</definedName>
    <definedName name="TablaFechasImportantes" localSheetId="5">Mayo!$L$4:$M$8</definedName>
    <definedName name="TablaFechasImportantes" localSheetId="11">Noviembre!$L$4:$M$8</definedName>
    <definedName name="TablaFechasImportantes" localSheetId="10">Octubre!$L$4:$M$8</definedName>
    <definedName name="TablaFechasImportantes" localSheetId="9">Septiembre!$L$4:$M$8</definedName>
    <definedName name="TablaFechasImportantes">Enero!$L$4:$M$8</definedName>
  </definedName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I9" i="8" l="1"/>
  <c r="H9" i="8"/>
  <c r="G9" i="8"/>
  <c r="F9" i="8"/>
  <c r="E9" i="8"/>
  <c r="D9" i="8"/>
  <c r="C9" i="8"/>
  <c r="I8" i="8"/>
  <c r="H8" i="8"/>
  <c r="G8" i="8"/>
  <c r="F8" i="8"/>
  <c r="E8" i="8"/>
  <c r="D8" i="8"/>
  <c r="C8" i="8"/>
  <c r="I7" i="8"/>
  <c r="H7" i="8"/>
  <c r="G7" i="8"/>
  <c r="F7" i="8"/>
  <c r="E7" i="8"/>
  <c r="D7" i="8"/>
  <c r="C7" i="8"/>
  <c r="I6" i="8"/>
  <c r="H6" i="8"/>
  <c r="G6" i="8"/>
  <c r="F6" i="8"/>
  <c r="E6" i="8"/>
  <c r="D6" i="8"/>
  <c r="C6" i="8"/>
  <c r="I5" i="8"/>
  <c r="H5" i="8"/>
  <c r="G5" i="8"/>
  <c r="F5" i="8"/>
  <c r="E5" i="8"/>
  <c r="D5" i="8"/>
  <c r="C5" i="8"/>
  <c r="I4" i="8"/>
  <c r="H4" i="8"/>
  <c r="G4" i="8"/>
  <c r="F4" i="8"/>
  <c r="E4" i="8"/>
  <c r="D4" i="8"/>
  <c r="C4" i="8"/>
  <c r="I9" i="16"/>
  <c r="H9" i="16"/>
  <c r="G9" i="16"/>
  <c r="F9" i="16"/>
  <c r="E9" i="16"/>
  <c r="D9" i="16"/>
  <c r="C9" i="16"/>
  <c r="I8" i="16"/>
  <c r="H8" i="16"/>
  <c r="G8" i="16"/>
  <c r="F8" i="16"/>
  <c r="E8" i="16"/>
  <c r="D8" i="16"/>
  <c r="C8" i="16"/>
  <c r="I7" i="16"/>
  <c r="H7" i="16"/>
  <c r="G7" i="16"/>
  <c r="F7" i="16"/>
  <c r="E7" i="16"/>
  <c r="D7" i="16"/>
  <c r="C7" i="16"/>
  <c r="I6" i="16"/>
  <c r="H6" i="16"/>
  <c r="G6" i="16"/>
  <c r="F6" i="16"/>
  <c r="E6" i="16"/>
  <c r="D6" i="16"/>
  <c r="C6" i="16"/>
  <c r="I5" i="16"/>
  <c r="H5" i="16"/>
  <c r="G5" i="16"/>
  <c r="F5" i="16"/>
  <c r="E5" i="16"/>
  <c r="D5" i="16"/>
  <c r="C5" i="16"/>
  <c r="I4" i="16"/>
  <c r="H4" i="16"/>
  <c r="G4" i="16"/>
  <c r="F4" i="16"/>
  <c r="E4" i="16"/>
  <c r="D4" i="16"/>
  <c r="C4" i="16"/>
  <c r="I9" i="15"/>
  <c r="H9" i="15"/>
  <c r="G9" i="15"/>
  <c r="F9" i="15"/>
  <c r="E9" i="15"/>
  <c r="D9" i="15"/>
  <c r="C9" i="15"/>
  <c r="I8" i="15"/>
  <c r="H8" i="15"/>
  <c r="G8" i="15"/>
  <c r="F8" i="15"/>
  <c r="E8" i="15"/>
  <c r="D8" i="15"/>
  <c r="C8" i="15"/>
  <c r="I7" i="15"/>
  <c r="H7" i="15"/>
  <c r="G7" i="15"/>
  <c r="F7" i="15"/>
  <c r="E7" i="15"/>
  <c r="D7" i="15"/>
  <c r="C7" i="15"/>
  <c r="I6" i="15"/>
  <c r="H6" i="15"/>
  <c r="G6" i="15"/>
  <c r="F6" i="15"/>
  <c r="E6" i="15"/>
  <c r="D6" i="15"/>
  <c r="C6" i="15"/>
  <c r="I5" i="15"/>
  <c r="H5" i="15"/>
  <c r="G5" i="15"/>
  <c r="F5" i="15"/>
  <c r="E5" i="15"/>
  <c r="D5" i="15"/>
  <c r="C5" i="15"/>
  <c r="I4" i="15"/>
  <c r="H4" i="15"/>
  <c r="G4" i="15"/>
  <c r="F4" i="15"/>
  <c r="E4" i="15"/>
  <c r="D4" i="15"/>
  <c r="C4" i="15"/>
  <c r="I9" i="14"/>
  <c r="H9" i="14"/>
  <c r="G9" i="14"/>
  <c r="F9" i="14"/>
  <c r="E9" i="14"/>
  <c r="D9" i="14"/>
  <c r="C9" i="14"/>
  <c r="I8" i="14"/>
  <c r="H8" i="14"/>
  <c r="G8" i="14"/>
  <c r="F8" i="14"/>
  <c r="E8" i="14"/>
  <c r="D8" i="14"/>
  <c r="C8" i="14"/>
  <c r="I7" i="14"/>
  <c r="H7" i="14"/>
  <c r="G7" i="14"/>
  <c r="F7" i="14"/>
  <c r="E7" i="14"/>
  <c r="D7" i="14"/>
  <c r="C7" i="14"/>
  <c r="I6" i="14"/>
  <c r="H6" i="14"/>
  <c r="G6" i="14"/>
  <c r="F6" i="14"/>
  <c r="E6" i="14"/>
  <c r="D6" i="14"/>
  <c r="C6" i="14"/>
  <c r="I5" i="14"/>
  <c r="H5" i="14"/>
  <c r="G5" i="14"/>
  <c r="F5" i="14"/>
  <c r="E5" i="14"/>
  <c r="D5" i="14"/>
  <c r="C5" i="14"/>
  <c r="I4" i="14"/>
  <c r="H4" i="14"/>
  <c r="G4" i="14"/>
  <c r="F4" i="14"/>
  <c r="E4" i="14"/>
  <c r="D4" i="14"/>
  <c r="C4" i="14"/>
  <c r="I9" i="13"/>
  <c r="H9" i="13"/>
  <c r="G9" i="13"/>
  <c r="F9" i="13"/>
  <c r="E9" i="13"/>
  <c r="D9" i="13"/>
  <c r="C9" i="13"/>
  <c r="I8" i="13"/>
  <c r="H8" i="13"/>
  <c r="G8" i="13"/>
  <c r="F8" i="13"/>
  <c r="E8" i="13"/>
  <c r="D8" i="13"/>
  <c r="C8" i="13"/>
  <c r="I7" i="13"/>
  <c r="H7" i="13"/>
  <c r="G7" i="13"/>
  <c r="F7" i="13"/>
  <c r="E7" i="13"/>
  <c r="D7" i="13"/>
  <c r="C7" i="13"/>
  <c r="I6" i="13"/>
  <c r="H6" i="13"/>
  <c r="G6" i="13"/>
  <c r="F6" i="13"/>
  <c r="E6" i="13"/>
  <c r="D6" i="13"/>
  <c r="C6" i="13"/>
  <c r="I5" i="13"/>
  <c r="H5" i="13"/>
  <c r="G5" i="13"/>
  <c r="F5" i="13"/>
  <c r="E5" i="13"/>
  <c r="D5" i="13"/>
  <c r="C5" i="13"/>
  <c r="I4" i="13"/>
  <c r="H4" i="13"/>
  <c r="G4" i="13"/>
  <c r="F4" i="13"/>
  <c r="E4" i="13"/>
  <c r="D4" i="13"/>
  <c r="C4" i="13"/>
  <c r="I9" i="12"/>
  <c r="H9" i="12"/>
  <c r="G9" i="12"/>
  <c r="F9" i="12"/>
  <c r="E9" i="12"/>
  <c r="D9" i="12"/>
  <c r="C9" i="12"/>
  <c r="I8" i="12"/>
  <c r="H8" i="12"/>
  <c r="G8" i="12"/>
  <c r="F8" i="12"/>
  <c r="E8" i="12"/>
  <c r="D8" i="12"/>
  <c r="C8" i="12"/>
  <c r="I7" i="12"/>
  <c r="H7" i="12"/>
  <c r="G7" i="12"/>
  <c r="F7" i="12"/>
  <c r="E7" i="12"/>
  <c r="D7" i="12"/>
  <c r="C7" i="12"/>
  <c r="I6" i="12"/>
  <c r="H6" i="12"/>
  <c r="G6" i="12"/>
  <c r="F6" i="12"/>
  <c r="E6" i="12"/>
  <c r="D6" i="12"/>
  <c r="C6" i="12"/>
  <c r="I5" i="12"/>
  <c r="H5" i="12"/>
  <c r="G5" i="12"/>
  <c r="F5" i="12"/>
  <c r="E5" i="12"/>
  <c r="D5" i="12"/>
  <c r="C5" i="12"/>
  <c r="I4" i="12"/>
  <c r="H4" i="12"/>
  <c r="G4" i="12"/>
  <c r="F4" i="12"/>
  <c r="E4" i="12"/>
  <c r="D4" i="12"/>
  <c r="C4" i="12"/>
  <c r="I9" i="11"/>
  <c r="H9" i="11"/>
  <c r="G9" i="11"/>
  <c r="F9" i="11"/>
  <c r="E9" i="11"/>
  <c r="D9" i="11"/>
  <c r="C9" i="11"/>
  <c r="I8" i="11"/>
  <c r="H8" i="11"/>
  <c r="G8" i="11"/>
  <c r="F8" i="11"/>
  <c r="E8" i="11"/>
  <c r="D8" i="11"/>
  <c r="C8" i="11"/>
  <c r="I7" i="11"/>
  <c r="H7" i="11"/>
  <c r="G7" i="11"/>
  <c r="F7" i="11"/>
  <c r="E7" i="11"/>
  <c r="D7" i="11"/>
  <c r="C7" i="11"/>
  <c r="I6" i="11"/>
  <c r="H6" i="11"/>
  <c r="G6" i="11"/>
  <c r="F6" i="11"/>
  <c r="E6" i="11"/>
  <c r="D6" i="11"/>
  <c r="C6" i="11"/>
  <c r="I5" i="11"/>
  <c r="H5" i="11"/>
  <c r="G5" i="11"/>
  <c r="F5" i="11"/>
  <c r="E5" i="11"/>
  <c r="D5" i="11"/>
  <c r="C5" i="11"/>
  <c r="I4" i="11"/>
  <c r="H4" i="11"/>
  <c r="G4" i="11"/>
  <c r="F4" i="11"/>
  <c r="E4" i="11"/>
  <c r="D4" i="11"/>
  <c r="C4" i="11"/>
  <c r="I9" i="10"/>
  <c r="H9" i="10"/>
  <c r="G9" i="10"/>
  <c r="F9" i="10"/>
  <c r="E9" i="10"/>
  <c r="D9" i="10"/>
  <c r="C9" i="10"/>
  <c r="I8" i="10"/>
  <c r="H8" i="10"/>
  <c r="G8" i="10"/>
  <c r="F8" i="10"/>
  <c r="E8" i="10"/>
  <c r="D8" i="10"/>
  <c r="C8" i="10"/>
  <c r="I7" i="10"/>
  <c r="H7" i="10"/>
  <c r="G7" i="10"/>
  <c r="F7" i="10"/>
  <c r="E7" i="10"/>
  <c r="D7" i="10"/>
  <c r="C7" i="10"/>
  <c r="I6" i="10"/>
  <c r="H6" i="10"/>
  <c r="G6" i="10"/>
  <c r="F6" i="10"/>
  <c r="E6" i="10"/>
  <c r="D6" i="10"/>
  <c r="C6" i="10"/>
  <c r="I5" i="10"/>
  <c r="H5" i="10"/>
  <c r="G5" i="10"/>
  <c r="F5" i="10"/>
  <c r="E5" i="10"/>
  <c r="D5" i="10"/>
  <c r="C5" i="10"/>
  <c r="I4" i="10"/>
  <c r="H4" i="10"/>
  <c r="G4" i="10"/>
  <c r="F4" i="10"/>
  <c r="E4" i="10"/>
  <c r="D4" i="10"/>
  <c r="C4" i="10"/>
  <c r="I9" i="9"/>
  <c r="H9" i="9"/>
  <c r="G9" i="9"/>
  <c r="F9" i="9"/>
  <c r="E9" i="9"/>
  <c r="D9" i="9"/>
  <c r="C9" i="9"/>
  <c r="I8" i="9"/>
  <c r="H8" i="9"/>
  <c r="G8" i="9"/>
  <c r="F8" i="9"/>
  <c r="E8" i="9"/>
  <c r="D8" i="9"/>
  <c r="C8" i="9"/>
  <c r="I7" i="9"/>
  <c r="H7" i="9"/>
  <c r="G7" i="9"/>
  <c r="F7" i="9"/>
  <c r="E7" i="9"/>
  <c r="D7" i="9"/>
  <c r="C7" i="9"/>
  <c r="I6" i="9"/>
  <c r="H6" i="9"/>
  <c r="G6" i="9"/>
  <c r="F6" i="9"/>
  <c r="E6" i="9"/>
  <c r="D6" i="9"/>
  <c r="C6" i="9"/>
  <c r="I5" i="9"/>
  <c r="H5" i="9"/>
  <c r="G5" i="9"/>
  <c r="F5" i="9"/>
  <c r="E5" i="9"/>
  <c r="D5" i="9"/>
  <c r="C5" i="9"/>
  <c r="I4" i="9"/>
  <c r="H4" i="9"/>
  <c r="G4" i="9"/>
  <c r="F4" i="9"/>
  <c r="E4" i="9"/>
  <c r="D4" i="9"/>
  <c r="C4" i="9"/>
  <c r="I9" i="7"/>
  <c r="H9" i="7"/>
  <c r="G9" i="7"/>
  <c r="F9" i="7"/>
  <c r="E9" i="7"/>
  <c r="D9" i="7"/>
  <c r="C9" i="7"/>
  <c r="I8" i="7"/>
  <c r="H8" i="7"/>
  <c r="G8" i="7"/>
  <c r="F8" i="7"/>
  <c r="E8" i="7"/>
  <c r="D8" i="7"/>
  <c r="C8" i="7"/>
  <c r="I7" i="7"/>
  <c r="H7" i="7"/>
  <c r="G7" i="7"/>
  <c r="F7" i="7"/>
  <c r="E7" i="7"/>
  <c r="D7" i="7"/>
  <c r="C7" i="7"/>
  <c r="I6" i="7"/>
  <c r="H6" i="7"/>
  <c r="G6" i="7"/>
  <c r="F6" i="7"/>
  <c r="E6" i="7"/>
  <c r="D6" i="7"/>
  <c r="C6" i="7"/>
  <c r="I5" i="7"/>
  <c r="H5" i="7"/>
  <c r="G5" i="7"/>
  <c r="F5" i="7"/>
  <c r="E5" i="7"/>
  <c r="D5" i="7"/>
  <c r="C5" i="7"/>
  <c r="I4" i="7"/>
  <c r="H4" i="7"/>
  <c r="G4" i="7"/>
  <c r="F4" i="7"/>
  <c r="E4" i="7"/>
  <c r="D4" i="7"/>
  <c r="C4" i="7"/>
  <c r="I9" i="6"/>
  <c r="H9" i="6"/>
  <c r="G9" i="6"/>
  <c r="F9" i="6"/>
  <c r="E9" i="6"/>
  <c r="D9" i="6"/>
  <c r="C9" i="6"/>
  <c r="I8" i="6"/>
  <c r="H8" i="6"/>
  <c r="G8" i="6"/>
  <c r="F8" i="6"/>
  <c r="E8" i="6"/>
  <c r="D8" i="6"/>
  <c r="C8" i="6"/>
  <c r="I7" i="6"/>
  <c r="H7" i="6"/>
  <c r="G7" i="6"/>
  <c r="F7" i="6"/>
  <c r="E7" i="6"/>
  <c r="D7" i="6"/>
  <c r="C7" i="6"/>
  <c r="I6" i="6"/>
  <c r="H6" i="6"/>
  <c r="G6" i="6"/>
  <c r="F6" i="6"/>
  <c r="E6" i="6"/>
  <c r="D6" i="6"/>
  <c r="C6" i="6"/>
  <c r="I5" i="6"/>
  <c r="H5" i="6"/>
  <c r="G5" i="6"/>
  <c r="F5" i="6"/>
  <c r="E5" i="6"/>
  <c r="D5" i="6"/>
  <c r="C5" i="6"/>
  <c r="I4" i="6"/>
  <c r="H4" i="6"/>
  <c r="G4" i="6"/>
  <c r="F4" i="6"/>
  <c r="E4" i="6"/>
  <c r="D4" i="6"/>
  <c r="C4" i="6"/>
  <c r="H4" i="1" l="1"/>
  <c r="I9" i="1" l="1"/>
  <c r="H9" i="1"/>
  <c r="G9" i="1"/>
  <c r="F9" i="1"/>
  <c r="E9" i="1"/>
  <c r="D9" i="1"/>
  <c r="C9" i="1"/>
  <c r="I8" i="1"/>
  <c r="H8" i="1"/>
  <c r="G8" i="1"/>
  <c r="F8" i="1"/>
  <c r="E8" i="1"/>
  <c r="D8" i="1"/>
  <c r="C8" i="1"/>
  <c r="I7" i="1"/>
  <c r="H7" i="1"/>
  <c r="G7" i="1"/>
  <c r="F7" i="1"/>
  <c r="E7" i="1"/>
  <c r="D7" i="1"/>
  <c r="C7" i="1"/>
  <c r="I6" i="1"/>
  <c r="H6" i="1"/>
  <c r="G6" i="1"/>
  <c r="F6" i="1"/>
  <c r="E6" i="1"/>
  <c r="D6" i="1"/>
  <c r="C6" i="1"/>
  <c r="I5" i="1"/>
  <c r="H5" i="1"/>
  <c r="G5" i="1"/>
  <c r="F5" i="1"/>
  <c r="E5" i="1"/>
  <c r="D5" i="1"/>
  <c r="C5" i="1"/>
  <c r="I4" i="1"/>
  <c r="G4" i="1"/>
  <c r="F4" i="1"/>
  <c r="E4" i="1"/>
  <c r="D4" i="1"/>
  <c r="C4" i="1"/>
</calcChain>
</file>

<file path=xl/sharedStrings.xml><?xml version="1.0" encoding="utf-8"?>
<sst xmlns="http://schemas.openxmlformats.org/spreadsheetml/2006/main" count="372" uniqueCount="143">
  <si>
    <t>S</t>
  </si>
  <si>
    <t>M</t>
  </si>
  <si>
    <t>TAREAS</t>
  </si>
  <si>
    <t>ENERO</t>
  </si>
  <si>
    <t>L</t>
  </si>
  <si>
    <t>X</t>
  </si>
  <si>
    <t>J</t>
  </si>
  <si>
    <t>V</t>
  </si>
  <si>
    <t>D</t>
  </si>
  <si>
    <t>DICIEMBRE</t>
  </si>
  <si>
    <t>HORARIO SEMANAL</t>
  </si>
  <si>
    <t>LUN</t>
  </si>
  <si>
    <t>MAR</t>
  </si>
  <si>
    <t>MIÉ</t>
  </si>
  <si>
    <t>JUE</t>
  </si>
  <si>
    <t>VIE</t>
  </si>
  <si>
    <t>NOVIEMBRE</t>
  </si>
  <si>
    <t>OCTUBRE</t>
  </si>
  <si>
    <t>SEPTIEMBRE</t>
  </si>
  <si>
    <t>AGOSTO</t>
  </si>
  <si>
    <t>JULIO</t>
  </si>
  <si>
    <t>JUNIO</t>
  </si>
  <si>
    <t>MAYO</t>
  </si>
  <si>
    <t>ABRIL</t>
  </si>
  <si>
    <t>MARZO</t>
  </si>
  <si>
    <t>FEBRERO</t>
  </si>
  <si>
    <t>DIA NO LABORABLE</t>
  </si>
  <si>
    <t>SE REALIZO CAPTURA DE EXPEDIENTE DE CREDENCIAL AGROALIMENTARIA Y SE REGISTRO EL SUCESOR</t>
  </si>
  <si>
    <t>SE ENTREGO EL GANADO PRESENTE EN LA EXPO, DESMONTAJE DE CORRALETAS Y TOLDOS, LIMPIEZA DE LAS INSTALACIONES, SE RECIBIO EL PAGO DE 6 ROLLOS DE ALAMBRE DE 1 PRODUCTOR, SE ENTREGOP UN ROLLO DE ALAMBRE, SE ENTREGO CONSTACIAS PARA PROAGRO, CAPTURA DE EXPEDIENTE DE CREDENCIAL AGROALIMENTARIA Y REGISTRO DE SUCESOR</t>
  </si>
  <si>
    <t>REGISTRO DE PATENTE, CAPTURA DE EXPEDIENTE PARA CREDENCIAL AGROALIMENTARIA Y REGISTRO DE SUCESOR, RENOVACION DE CREDENCIAL Y REGISTRO DE SUCESOR, 1 REGISTRO DE SUCESOR.</t>
  </si>
  <si>
    <t>SE RECIBIO PAGO DE 4 ROLLOS DE ALAMBRE, SE ENTREGO UNA CONSTANCIA DE CAPTURTA DE EXPEDIENTE PARA CREDENCIAL AGROALIMENTARIA, SE ENTREGARON 14 ROLLOS DE ALAMBRE A 2 PRODUCTORES, SE FIRMARON 5 CONSTANCIAS DE PROAGRO, SE RECIBIERON 23 ROLLOS DE ALAMBRE DE PUAS.</t>
  </si>
  <si>
    <t>ENTREGA DE LONAS E INVITACIONES EN LOS MUNICIPIOS DE TENAMAXTLAN, ATENGO, UNION DE TVLA, JUCHITLAN Y CHIQUILISTLAN, SE RECIBIO PAGO DE 7 ROLLOS DE ALAMBRE.</t>
  </si>
  <si>
    <t>CAPTURA DE EXPEDIENTE DE CREDENCIAL AGROALIMENTARIA DE INTRODUCTOR</t>
  </si>
  <si>
    <t>CAPTURA DE EXPEDIENTE DE CREDENCIAL AGROALIMENTARIA, ENTREGA DE 2 CONSTANCIAS DE CREDENCIAL AGROALIMENTARIA.</t>
  </si>
  <si>
    <t>SE INFORMO A 2 PRODUCTORES SOBRE LOS PROGRAMAS EN PUERTA, SE ENTREGO UNA CONSTANCIA DE CAPTURA DE EXPEDIENTE PARA CREDENCIAL AGROALIMENTARIA</t>
  </si>
  <si>
    <t>MONTAJE DE LA EXPO EN INSTALACIONES DE LA PLAZA DE TOROS, SE ENTREGO 1 ROLLO DE ALAMBRE, SE REALIZARON AVISOS PARA SACRIFICIO DE 25 CERDOS.</t>
  </si>
  <si>
    <t>SE RECIBIO PAGO DE 1 ROLLOS DE ALAMBRE, RENOVACION DE CREDENCIAL AGROALIMENTARIA Y REGISTRO DE SUCESOR</t>
  </si>
  <si>
    <t>ENTREGA DE 1 CONSTANCIA DE CAPTURA DE EXPEDIENTE DE CREDENCIAL AGROALIMENTARIA, SE DIO AVISO PARA SACRIFICIO DE 2 BOVINOS Y 2 CERDOS, SE ENTREGO UNA CONSTANCIA PARA PROAGRO, REGISTRO DE PATENTE.</t>
  </si>
  <si>
    <t xml:space="preserve"> </t>
  </si>
  <si>
    <t>SE INFORMO A UN PRODUCTOR SOBRE ARETES DE SINIIGA, SE ENTREGARON 8 ROLLOS DE ALAMBRE A 3 PRODUCTORES, SE RECIBIO PAGO DE 11 ROLLOS DE ALAMBRE DE PUAS.</t>
  </si>
  <si>
    <t>REUNION DE CONTRALORIA EN CASA DE LA CULTURA, SE CONTINUO CON EL MONTAJE DE LA EXPO, SE FIRMO 3 CONSTANCIAS A 2 PRODUCTORES PARA COBRO DE PROAGRO, SE ENTREGO 1 ROLLO DE ALAMBRE.</t>
  </si>
  <si>
    <t xml:space="preserve">SE ENTREGARON 8 ROLLOS DE ALAMBRE A 1 PRODUCTOR, A 2 PRODUCTORES SE LES ENTREGO CONSTANCIA DE CREDENCIAL AGROALIMENTARIA </t>
  </si>
  <si>
    <t>2 CONSTANCIAS PARA PROAGRO, SE ENTREGO AVISO DE SACRIFICIO DE 12 CERDOS, SE RECIBIO PAGO DE 2 ROLLOS DE ALAMBRE.</t>
  </si>
  <si>
    <t>SE REALIZO REGISTRO DE PATENTE Y CREDENCIAL AGROALIMENTARIA A UN PRODUCTOR, SE RECIBIO EL PAGO DE 5 ROLLOS DE ALAMBRE, SE INFORMO A UN PRODUCTOR SOBRE CREDENCIAL AGROALIMENTARIASE ENTREGARON 3 ROLLOS DE ALAMBRE A UN PRODUCTOR</t>
  </si>
  <si>
    <t xml:space="preserve">SE ENTREGARON 2 ROLLOS DE ALAMBRE A 1 PRODUCTOR, SE REALIZO UN REGISTRO DE PAPTENTE Y CAPTURA DE EXPEDIENTE PARA CREDENCIAL AGROALIMENTARIA, SE RECIBIERON 16 ROLLOS DE ALAMBRE DE PUAS. </t>
  </si>
  <si>
    <t>SE RECIBIO EL GANADO QUE ESTARA PRESENTE EN LA EXPO, ASI COMO A LOS EXPOSITORES, CASAS SEMILLERAS,ARTESANOS Y FORRAJERAS, SE ENTREGARON 11 ROLLOS DE ALAMBRE, SE RECIBIO PAGO DE 2 ROLLOS DE ALAMBRE DE PUAS, SE REALIZARON AVISOS PARA SACRIFICIO DE 7 BOVINOS Y 16 CERDO, SE ENTREGARON 2 CONSTANCIAS PARA PROAGRO, SE LLEVO A CABO EL DESFILE INAGURAL DE LA 1° EXPO</t>
  </si>
  <si>
    <t>ENTREGA DE UNA CONSTANCIA DE CREDENCIAL AGROALIMENTARIA A 1 PRODUCTOR, SE ENTREGO AVISO DE SACRIFICIO DE 3 BOVINO Y 4 CERDOS, ENTREGA DE 2 ROLLOS DE ALAMBRE.</t>
  </si>
  <si>
    <t>SE ENTREGO UNA CREDENCIAL AGROALIMENTARIA. SE ENTREGARON AVISOS DE SACRIFICIO DE 11 PUERCOS</t>
  </si>
  <si>
    <t>SE ENTREGARON 6 ROLLOS DE ALAMBRE A UN PRODUCTOR.</t>
  </si>
  <si>
    <t>SE ENTREGARON AVISOS DE SACRIFICIO DE 4 PUERCOS Y 1 BOVINO, SE BRINDO INFORMACION A UN PRODUCTOR SOBRE SUCESIÓN DE FIERRO. SE LE INFORMO A UN PRODUCTOR SOBRE LA CONCESIÓN DEL AGUA.</t>
  </si>
  <si>
    <t>SE DIO INFORMACION A PRODUCTOR SOBRE EL PROGRAMA DE CREDITO A LA PALABRA GANADERO, SE REALIZO UN REGISTRO DE PATENTE NUEVO</t>
  </si>
  <si>
    <t>REGISTRO NUEVO DE PATENTE Y RECEPCION DE EXPEDIENTE PARA CREDENCIAL AGROALIMENTARIA</t>
  </si>
  <si>
    <t>CAPTURA DE EXPEDIENTE DE CREDENCIAL AGROALIMENTARIA, CERTIFICACION DE CONSTANCIA PARA PROAGRO, ENTREGA DE 5 ROLLOS DE ALAMBRE A UN PRODUCTOR, SE RECIBIO PAGO DE 4 ROLLOS DE ALAMBRE, SE ENTREGO UNA CREDENCIAL AGROALIMENTARIA, SE REGISTRO 1 CAMBIO DE SUCESOR.</t>
  </si>
  <si>
    <t>CERTIFICACION DE 2 CONSTANCIAS PARA PROAGRO, RECEPCION DE 6 ROLLOS DE ALAMBRE</t>
  </si>
  <si>
    <t>REGISTRO DE PATENTE NUEVA, CAPTURA DE 2 EXPEDIENTES PARA CREDENCIAL AGROALAIMENTARIA, SE DIO INFORMACION A UN PRODUCTOR SOBRE EL CREDITO A LA PALABRA GANADERO, INFORMACION A UN PRODUCTOR SOBRE PROGRAMA DE TECNIFICACION DE RIEGO.</t>
  </si>
  <si>
    <t xml:space="preserve">ENTREGA DE 1 CONSTACIA DE CAPTURA DE EXPEDIENTE DE CREDENCIAL AGROALIMENTARIA A 1 PRODUCTOR, SE RECIBIO PAGO DE 2 ROLLOS DE ALAMBRE DE PUAS, SE REALIZO UNA CERTIFICACION DE CONSTANCIA DE PROAGRO, REGISTRO DE PATENTE NUEVA Y  REGISTRO DE SUCESOR </t>
  </si>
  <si>
    <t>SE ENTREGO CONSTANCIA DE CAPTURA DE CREDENCIAL AGROALIMENTARIA A 3 PRODUCTOR, SE RECIBIO PAGO DE 10 ROLLOS DE ALAMBRE, SE REALIZO UN REGISTRO DE PATENTE NUEVA Y SUCESOR, CAPTURA DE 4 EXPEDIENTES DE CREDENCIAL AGROALIMENTARIA.</t>
  </si>
  <si>
    <t xml:space="preserve">CAPTURA DE 2 EXPEDIENTES DE CREDENCIAL AGROALIMENTARIA, SE RECIBIO EXPEDIENTE PARA CREDENCIAL AGROALIMENTARIA,SE ENTREGARON 2 CONSTANCIAS DE CAPTURA DE EXPEDIENTE DE CREDENCIAL AGROALIMENTARIA, SE RECIBIO PAGO DE 7 ROLLOS DE ALAMBRE DE PUAS. </t>
  </si>
  <si>
    <t>ASAMBLEA DE INTEGRACION DEL CONSEJO MUNICIPAL DE DESARROLLO RURAL SUSTENTABLE DE TECOLOTLAN, JALISCO, VIAJE A SEDER EN GDL A ENTREGAR EL ACTA CONSTITUTIVA. SE RECIBIO EXPEDIENTE PARA CREDENCIAL AGROALIMENTARIA, SE ENTREGO CONSTANCIA DE CAPTURA DE CREDENCIAL AGOALIMENTARIA.</t>
  </si>
  <si>
    <t>SE RECIBIO EXPEDIENTE PARA DOS CREDENCIALES AGROALIMENTARIA Y SE ENTREGO UNA CONSTANCIA DE CAPTURA DE CREDENCIAL AGROALIMENTARIA, SE RECIBIO PAGO DE 2 ROLLOS DE ALAMBRE DE PUAS</t>
  </si>
  <si>
    <t>SE ENTREGO AVISO DE SACRIFICIO PARA 4 PUERCOS, SE ENTREGARON 6 ROLLOS DE ALAMBRE.</t>
  </si>
  <si>
    <t>SE ENTREGARON  15 ROLLOS DE ALAMBRE, SE ENTREGARON 2 CONSTANCIAS DE CAPTURA DE CREDENCIAL AGROALIMENTARIA, REGISTRO DE PATENTE NUEVA, SE RECIBIO EXPEDIENTE PARA CAPTURA DE CREDENCIAL AGROALIMENTARIA, SE CAPTURARON 2 EXPEDIENTES DE CREDENCIAL AGROALIMENTARIA</t>
  </si>
  <si>
    <t>SE ENTREGO 1 ROLLO DE ALAMBRE, SE RECIBIO PAGO DE 2 ROLLOS DE ALAMBRE DE PUAS</t>
  </si>
  <si>
    <t>SE ENTREGARON 9 ROLLOS DE ALAMBRE, SE RECIBIO PAGO DE 10 ROLLOS DE ALAMBRE, SE CERTIFICO UNA CONSTANCIA PARA PROAGRO, SE ENTREGO ORDEN DE SACRIFICION PARA 10 CERDOS, SE RECIBIO EXPEDIENTE PARA CREDENCIAL AGROALIMENTARIA, CAPTURA DE EXPEDIENTE DE CREDENCIAL AGROALIMENTARIA.</t>
  </si>
  <si>
    <t>SE ENTREGO UNA CERTIFICACION PARA PROAGRO, SE RECIBIO PAGO DE 5 ROLLOS DE ALAMBRE, SE ENTREGO UNA CONSTANCIA DE CREDENCIAL AGROALIMENTARIA, SE REALIZO UN REGISTRO DE PATENTE NUEVA, REUNION ORDINARIA DEL CONSEJO DISTRITAL PARA EL DESARROLLO RURAL SUSTENTABLE EN EL GRULLO, JALISCO.</t>
  </si>
  <si>
    <t>SE RECIBIO EXPEDIENTE PARA CREDENCIAL AGROALIMENTARIA, SE ENTREGO 1 CREDENCIAL AGROALIMENTARIA, Y SE ENTREGO UNA CONSTANCIA DE CAPTURA DE CREDENCIAL AGROALIMENTARIA, ASISTI A CAPACITACION REGIONAL EN MATERIA DE TRANSPARENCIA  EN COCULA, JALISCO.</t>
  </si>
  <si>
    <t xml:space="preserve">SE INFORMO A UN PRODUCTOR SOBRE LOS REQUISITOS PARA LA SOLICITUD DE UN BORDO, SE INFORMO A 2 PRODUCTORES SOBRE LA CEDENCIAL AGROALIMENTARIA, SE ENTREGO A UN PRODUCTOR UNA CREDENCIAL AGROALIMENTARIA, SE ENTREGARON 10 ROLLOS A UN PRODUCTOR. </t>
  </si>
  <si>
    <t>SE RECIBIO PAGO DE ALAMBRE DE PUAS POR 2 PRODUCTORES</t>
  </si>
  <si>
    <t>SE ENTREGARON 10 ROLLOS DE ALAMBRE DE PUAS A PRODUCTOR, Y SE RECIBIO EL PAGO DE 6 ROLLOS DE ALAMBRE DE PUAS</t>
  </si>
  <si>
    <t>SE ENTREGARON 12 ROLLOS DE ALAMBRE, SE RECIBIO PAGO POR 11 ROLLOS DE ALAMBRE, SE ENTREGARON 2 CONSTANCIAS DE CAPTURA DE CREDENCIAL AGROALIMENTARIA.</t>
  </si>
  <si>
    <t>SE RECIBIO PAGO DE 2 ROLLOS DE MALLA CICLON POR PARTE DE UN PRODUCTOR, SE ENTREGARON 2 ROLLOS DE ALAMBRE DE PUAS A UN PRODUCTOR, SE RECIBIO PAGO DE 6 ROLLOS DE ALAMBRE DE PUAS.</t>
  </si>
  <si>
    <t>SE RECIBIO PAGO DE ALAMBRE DE PUAS POR 2 PRODUCTORES, SE ENTREGO ALAMBRE A UN PRODUCTOR</t>
  </si>
  <si>
    <t>SE ENTREGARON 11 ROLLOS DE ALAMBRE DE PUAS, Y SE REALIZO CAPTURA DE EXPEDIENTE DE CREDENCIAL AGROALIMENTARIA.</t>
  </si>
  <si>
    <t>SE REALIZO CAPTURA PARA CREDENCIAL AGROALIMENTARIA, SE ENTREGO UNA CONSTANCIA DE CREDENCIAL AGROALIMENTARIA.</t>
  </si>
  <si>
    <t xml:space="preserve">SE ENTREGARON 2 ROLLLOS DE ALAMBRE, SE INFORMO A 2 PRODUCTORES SOBRE LA CREDENCIALIZACION AGROALIMENTARIA, SE ENTREGO UNA CONSTANCIA DE CAPTURA DE EXPEDIENTE DE CREDENCIAL AGROALIMENTARIA, </t>
  </si>
  <si>
    <t>SE ENTREGO CONSTANCIA DE EXPEDIENTE DE CAPTURA DE CREDENCIAL AGROALIMENTARIA A PRODUCTOR, SE INFORMO A PRODUCTOR SOBRE EL PROGRAMA PROGAN Y CREDENCIALIZACION AGROALIMENTARIA, SE ENTREGARON 10 ROLLOS DE ALAMBRE DE PUAS A PRODUCTOR.</t>
  </si>
  <si>
    <t>SE ENTREGARON 12 ROLLOS DE ALAMBRE DE PUAS A UN PRODUCTOR, SE RECIBIO PAGO DE 10 ROLLOS Y 1 DE MALLA CICLON.</t>
  </si>
  <si>
    <t>SE ENTREGARON 2 CREDENCIALES AGROALIMENTARIAS, SE ENTREGO UNA CONSTANCIA DE CAPTURA DE EXPEDIENTE DE CREDENCIAL AGROALIMENTARO</t>
  </si>
  <si>
    <t>SE RECIBIO PAGO POR 5 ROLLOS DE ALAMBRE DE PUAS, SE ENTREGO 1 ROLLO DE ALAMBRE DE PUAS A 1 PRODUCTOR.</t>
  </si>
  <si>
    <t>SE REALIZO PÉDIDO DE 18 ROLLOS DE ALAMBRE DE PUAS, SE ENTREGO UNA CONSTANCIA DE CAPTURA DE CREDENCIAL AGROALIMENTARIA</t>
  </si>
  <si>
    <t>SE ENTREGO CONSTANCIA DE CREDENCIAL AGROALIMENTARIA A PRODUCTOR, SE RECIBIO PAGO DE 13 ROLOS DE ALAMBRE DE PUAS.</t>
  </si>
  <si>
    <t>SE RECIBIERON 4 ROLLOS  DE ALAMBRE Y 1 DE MALLA CICLON, SE ENTREGARON 13 ROLLOS DE ALAMBRE DE PUAS A UN PRODUCTOR, SE RECIBIO PAGO DE 2 ROLLOS DE ALAMBRE</t>
  </si>
  <si>
    <t>SE ENTREGO 1 CREDENCIAL, SE RECIBIO PAGO DE 2 ROLLOS DE ALAMBRE DE PUAS, Y SE ENTREGARON 2 ROLLOS.</t>
  </si>
  <si>
    <t>SE ENTREGARON 2 CONSTANCIAS DE CREDENCIAL AGROALIMENTARIA, SE REALIZO CAPTURA PARA CREDENCIAL AGROALIMENTARIA, SE RECIBIO PAGO DE 1 ROLLO DE ALAMBRE.</t>
  </si>
  <si>
    <t xml:space="preserve">SE REALIZO INVENTARIO DE ROLLOS DE ALAMBRE DE PUAS, DANDO UN TOTAL DE 209 ROLLOS ENTREGADOS </t>
  </si>
  <si>
    <t>SE REALIZO PAGO DE ROLLOS DE ALAMBRE DE PUAS, SE ENTREGO UNA CONSTANCIA DE CREDENCIAL AGROALIMENTARIA A PRODUCTOR.</t>
  </si>
  <si>
    <t>SE RECIBIO EL PAGO POR 10 ROLLOS DE ALAMBRE.</t>
  </si>
  <si>
    <t>SE ENTREGARON 5 ROLLOS DE ALAMBRE A 1 PRODUCTOR, SE ENTREGARON 5 ROLLOS DE ALAMBRE.</t>
  </si>
  <si>
    <t>INFORME TRIMESTRAL ENERO-MARZO</t>
  </si>
  <si>
    <t xml:space="preserve">EN LOS MESES DE ENERO-FEBRERO-MARZO SE ENTREGARON UN TOTAL DE 340 ROLLO DE ALAMBRE DE PUAS A BAJO COSTO, BENEFICIANDO A UN TOTAL DE 56 PRODUCTORES. SE CAPTTURARON UN TOTAL DE 31 EXPEDIENTES PARA CREDENCIAL AGROALIMENARIA. LOS DIAS 15, 16 Y 17 DE FEBRERO SE LLEVO ACABO LA 1° ERA EXPO AGRICOLA GANADERA DE NUESTRO MUNICIPIO, CON LA EXHIBICION DE LA MEJOR GENETICA EN BOVINOS, PORCINOS, CAPRINOS Y OVINOS, ASI COMO LA PRESENCIA DE LAS MAS IMPORTANTES CASAS SEMILLERAS DE LA REGION. </t>
  </si>
  <si>
    <t>CAPTURA DE 1 EXPEDIENTE PARA CREDENCIAL AGROALIMENTARIA, SE DIO INFORMACION A UN PRODUCTOR SOBRE CREDENCIAL AGROALIMENTARIA, SE ENTREGARON DOS ROLLOS DE ALAMBRE DE PUAS A UN PRODUCTOR</t>
  </si>
  <si>
    <t>CAPTURA DE 3 EXPEDIENTES PARA CREDENCIAL AGROALIMENTARIA, SE ENTREGARON 2 CONSTANCIAS DE CAPTURA DE CREDENCIAL AGROALIMENTARIA</t>
  </si>
  <si>
    <t>SE ENTREGARON 4 ROLLOS DE ALAMBRE DE PUAS, SE ENTREGARON 2 CONSTANCIAS DE CAPTURA DE CREDENCIAL AGROALIMENTARIA</t>
  </si>
  <si>
    <t>SE CAPTURARON 2 EXPEDIENTES DE CREDENCIAL AGROALIMENTARIA, SE ENTREGARON 2 ROLLOS DE ALAMBRE DE PUAS, SE DIO INFORMACION A 1 PRODUCTOR SOBRE PROGAMAS DE APOYO DE NIVEL ESTATAL.</t>
  </si>
  <si>
    <t>SE DIO INFORMACION A 2 PRODUCTORES SOBRE CREDENCIAL AGROALIMENTARIA Y REQUISITOS PARA REGISTRO DE FIGURA DE HERRA NUEVA</t>
  </si>
  <si>
    <t>SE DIO INFORMACION A UN PRODUCTOR SOBRE REQUISITOS PARA CREDENCIAL AGROALIMENTARIA, SE DIO INFORMACION A UN PRODUCTOR SOBRE LA FORMA DE HACER UN TRASLADO DE PATENTE EN VIDA</t>
  </si>
  <si>
    <t>SE ENTREGARON 2 ROLLOS DE ALAMBRE DE PUAS, SE DIO INFORMACION A UN PRODUCTOR SOBRE LOS MOTIVOS POR LOS CUALES NO SE ESTABAN IMPRIMIENDO CREDENCIALES AGROALIMENTARIAS</t>
  </si>
  <si>
    <t>SE BRINDO INFORMACION A UN PRODUCTOR SOBRE LOS PROGRAMAS A NIVEL ESTATAL</t>
  </si>
  <si>
    <t>SE REALIZO CAPTURA DE UN EXPEDIENTE DE CREDENCIAL AGROALIMENTARIA, SE ENTREGARON 2 CONSTANCIAS DE CAPTURA DE CREDENCIAL AGROALIMENTARIA.</t>
  </si>
  <si>
    <t>CAPTURA DE 1 EXPEDIENTE DE CREDENCIAL AGROALIMENTARIA, ENTREGA DE 5 ROLLOS DE ALAMBRE DE PUAS</t>
  </si>
  <si>
    <t>SE ENTREGARON 2 COSTANCIAS DE CAPTURA DE CREDENCIAL AGROALIMENTARIA</t>
  </si>
  <si>
    <t>SE DIO INFORMACION A UN  PRODUCTOR SOBRE PROGAMAS DE NIVEL ESTATAL</t>
  </si>
  <si>
    <t>SE ENTREGARON 4 ROLLOS DE ALAMBRE DE PUAS, SE DIO INFORMACION A UN PRODUCTOR SOBRE LOS REQUISITOS PARA LA CREDENCIAL AGROALIMENTARIA</t>
  </si>
  <si>
    <t>SE RECIBIO PAGO DE 5 ROLLOS DE ALAMBRE DE PUAS, SE DIO INFORMACION A UN PRODUCTOR SOBRE REQUISITOS PARA CREDENCIAL AGROALIMENTARIA</t>
  </si>
  <si>
    <t>SE RECIBIO PAGO DE 2 ROLLOS DE ALAMBRE DE PUAS, SE ENTREGARON 2 ROLLOS DE ALAMBRE DE PUAS A UN PRODUCTOR</t>
  </si>
  <si>
    <t>SE RECIBIO LA VISITA DEL UN INGENIERO DEL GRUPO MAPRESA, PARA REALIZAR UNA COTIZACION PARA MEJORAMIENTO DEL RASTRO MUNICIPAL</t>
  </si>
  <si>
    <t>SE REALIZO CAPTURA DE 4 EXPEDIENTES DE CREDENDIAL AGROALIMENTARIA, SE DIO INFORMACION A UN PRODUCTOR SOBRE REQUISITOS PARA CREDENCIAL AGROALIMENTARIA, SE DIO INFORMACION A UN PRODUCTOR SOBRE LA FORMA DE HACER UN TRASLADO DE PATENTE EN VIDA</t>
  </si>
  <si>
    <t>CAPACITACION DE PROGRAMA DE CONCURRENCIA EN SADER</t>
  </si>
  <si>
    <t>PRIMERA SESIÓN ORDINARIA DEL CONSEJO MUNICIPAL DE DESARROLLO RURAL  SUSTENTABLE DE TECOLOTLAN</t>
  </si>
  <si>
    <t>PLATICA EN CASA DE LA CULTURA SOBRE CONTROL DE GARRAPATA CON EL GRUPO LAPISA, SE RECIBIO VISITA DEL ING. SALVADOR ZAMORA DE SADER JALISCO, PARA DARLE SEGUIMIENTO AL MEJORAMIENTO DEL RASTRO MUNICIPAL</t>
  </si>
  <si>
    <t>SE CAPTURO UN EXPEDIENTE DE CREDENCIAL AGROALIMENTARIA</t>
  </si>
  <si>
    <t>VISITA A SADER JALISCO A RECOGER CREDENCIALES AGROALIMENTARIAS</t>
  </si>
  <si>
    <t>VISITA A SADER JALISCO A ENTREGAR OFICIOS</t>
  </si>
  <si>
    <t>VISITA A SADER JALISCO PARA ENTREGA DE OFICIOS</t>
  </si>
  <si>
    <t>SE DIO INFORMACION A UN PRODUCTOR SOBRE EL PROGRAMA DE CONCURRENCIA</t>
  </si>
  <si>
    <t>SE RECIBIO EXPEDIENTE PARA CREDENCIAL AGROALIMENTARIA</t>
  </si>
  <si>
    <t>SE DIO INFORMACION A UN PRODUCTOR SOBRE REQUISITOS PARA CREDENCIAL AGROALIMENTARIA</t>
  </si>
  <si>
    <t xml:space="preserve">SE INFORMO A UN INTRODUCTOR SOBRE LA IMPORTANCIA DE TAMITAR SU CREDENCIAL AGROALIMENTARIA COMO INTRODUCTOR </t>
  </si>
  <si>
    <t>SE ENTREGARON 10 ROLLOS DE ALAMBRE A UN PRODUCTOR</t>
  </si>
  <si>
    <t>SE DIO INFORMACION A PRODUCTORES SOBRE EL PRECIO Y ESPECIFICACIONES DEL ROLLO DE ALAMBRE DE PUAS</t>
  </si>
  <si>
    <t>SE REALIZARON INVITACIONES PARA LA PLATICA SOBRE CONTROL DE GARRAPATA CON EL GRUPO LAPISA</t>
  </si>
  <si>
    <t>SE ENTREGARON 5 ROLLOS DE ALAMBRE A UN PRODUCTOR</t>
  </si>
  <si>
    <t>SE DIO INFORMACION A UN PRODUCTOR SOBRE LOS PROGRAMAS DE CONCURRENCIA</t>
  </si>
  <si>
    <t>SE DIO INFORMACION A 1 PRODUCTOR SOBRE LOS PROGRAMAS DE CONCURRENCIA, SE ENTREGARON 2 CONSTANCIAS DE CAPTURA DE EXPEDIENTE DE CREDENCIAL AGROALIMENTARIA.</t>
  </si>
  <si>
    <t>SE ENTREGARON 5 CREDENCIALES AGROALIEMENTARIA, SE ENTREGO UNA CONSTANCIA DE CAPTURA DE EXPEDIENTE DE CREDENCIAL AGROALIMENTARIA, SE DIO INFORMACION A UN PRODUCTOR SOBRE CREDENCIAL AGROALIMENTARIA.</t>
  </si>
  <si>
    <t>SE ENTREGARON 6 AVISOS DE SACRIFICIO, SE INFORMO A A 5 PRODUCTORES SOBRE LOS PROGRAMAS DE COPNCURRENCIA 2019, SE ENTREGO UNA CONSTANCIA DE CAPTURA DE EXPEDIENTE DE CREDENCIAL AGROALIMENTARIA</t>
  </si>
  <si>
    <t>SE DIO INFORMACION A 2 PRODUCTORES SOBRE LOS PROGRAMAS DE CONCURRENCIA 2019</t>
  </si>
  <si>
    <t>SE DIO INFORAMACION A 2 PRODUCTORES SOBRE LAS CONCECIONES DE AGUA, SE ENTREGO UNA CREDENCIAL AGROALIMENTARIA</t>
  </si>
  <si>
    <t>SE DIO INFORMACION A 1 PRODUCTOR SOBRE LOS REQUISITOS PARA TRAMITAR LA PSG, SE EXPIDIERON 2 AVISOS DE SACRIFICIO, SE ENTREGO UNA CREDENCIAL AGROALIMENTARIA, SE DIO INFORMACION A UN PRODUCTOR SOBRE TECNIFICACION DE SISTEMA DE RIEGO</t>
  </si>
  <si>
    <t>SE ENTREGO UNA CREDENCIAL AGROALIMENTARIA, SE EXPIDIERON 4 AVISOS DE SACRIFICIO, SE DIO INFORMACION A UN PRODUCTOR SOBRE TECNIFICACION DE SISTEMAS DE RIEGO</t>
  </si>
  <si>
    <t>SE DIO INFORMACION A 4 PRODUCTORES SOBRE EL PROGRAMA DE CONCURRENCIA 2019</t>
  </si>
  <si>
    <t>SE ENTREGO UNA CREDENCIAL AGROALIMENTARIA, SE RECIBIO UN EXPEDIENTE PARA RENOVACION DE CREDENCIAL AGROALIMENTARIA, SE DIO INFORMACION A 1 PRODUCTOR SOBRE EL PROGRAMA DE CONCURRENCIA 2019, 2 OTORGAMIENTO DE FIRMA PARA PROAGRO</t>
  </si>
  <si>
    <t>SE DIO INFORMACION A 2 PRODUCTORES SOBRE LOS PROGRAMAS DE CONCURRENCIA 2019, SE EXPIDIERON 4 AVISOS DE SACRIFICIO, SE RECIBIO UN EXPEDIENTE PARA TRAMITE DE CREDENCIAL AGROALIMENTARIA.</t>
  </si>
  <si>
    <t>SE ENTREGO UNA CONSTANCIA DE CAPTURA DE EXPEDIENTE DE CREDENCIAL AGROALIMENTARIA, SE DIO INFORMACION A 2 PRODUCTORES SOBRE EL PROGRAMA DE CONCURRENCIA</t>
  </si>
  <si>
    <t>SE ENTREGO 1 CREDENCIAL AGROALIMENTARIA, SE DIO INFORMACION A 1 PRODUCTOR SOBRE EL PROGRAMA DE CONCURRENCIA 2019</t>
  </si>
  <si>
    <t>SE DIO INFORMACION A 2 PRODUCTORES SOBRE TECNIFICACION DE SISTEMAS DE RIEGO</t>
  </si>
  <si>
    <t>OTORGAMIENTO DE 2 FIRMAS PARA PROAGRO, SE ENTREGO 1 CREDENCIAL AGROALIMENTARIA, SE DIO INFORAMCION A 2 PRODUCTORES SOBRE EL PROGRAMA DE CONCURRENCIA 2019</t>
  </si>
  <si>
    <t>OTORGAMIENTO DE 1 FIRMA PARA PROAGRO, SE DIO INFORMACION A 2 PRODUCTORES SOBRE PROGRAMA DE CONCURRENCIA 2019, SE ENTREGO 1 CREDENCIAL AGROALIMENTARIA, SE EXPIDIERON 2 AVISOS DE SACRIFICIO, SE RECIBIO UNA SOLICITUD PARA EL PROGRAMA DE CONCURRENCIA 2019</t>
  </si>
  <si>
    <t>SE DIO INFORMACION A 1 PRODUCTOR SOBRE EL PROGRAMA DE CONCURRENCIA 2019, 1</t>
  </si>
  <si>
    <t>OTORGAMIENTO DE FIRMA PARA PROAGRO, SE RECIBIO 1 EXPEDIENTE PARA CREDNCIAL AGROALIMENTARIA, SE RECIBIO 1 SOLICITUD PARA PROGRAMA DE CONCURRENCIA</t>
  </si>
  <si>
    <t>SE RECIBIERON 2 SOLICITUDES PARA EL PROGRAMA DE CONCURRENCIA. INFORMACION DE PROGRAMA DE CONCURRENCIA A 1 APICULTOR, SE RECIBIO EXPEDIENTE PARA CREDENCIAL AGROALIMENTARIA, SE ENTREGO 1 CREDENCIAL AGROALIMENTARIA</t>
  </si>
  <si>
    <t>SE EXPIDIO 1 AVISO DE SACRIFICIO, SE RECIBIO 2 SOLICITUD PARA PROGRAMA DE CONCURRENCIA 2019, 1 OTORGAMIENTO DE FIRMA PARA PROAGRO.</t>
  </si>
  <si>
    <t>SE DIO INFORMACION SOBRE EL PROGRAMA DE CONCURRENCIA A UN PRODUCTOR, SE EXPIDIERON 4 AVISOS DE SACRIFICIO, SE RECIBIERON 3 SOLICITUDES PARA PROGRAMA DE CONCURRENCIA.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</si>
</sst>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numFmts>
  <fonts count="27" x14ac:knownFonts="1">
    <font>
      <sz val="10"/>
      <color theme="1"/>
      <name val="Arial"/>
      <family val="2"/>
      <scheme val="minor"/>
    </font>
    <font>
      <sz val="12"/>
      <color rgb="FF002060"/>
      <name val="Arial"/>
      <family val="2"/>
      <scheme val="minor"/>
    </font>
    <font>
      <sz val="8"/>
      <name val="Arial"/>
      <family val="2"/>
      <scheme val="minor"/>
    </font>
    <font>
      <b/>
      <sz val="11"/>
      <color theme="0"/>
      <name val="Arial"/>
      <family val="2"/>
      <scheme val="minor"/>
    </font>
    <font>
      <sz val="11"/>
      <name val="Arial"/>
      <family val="2"/>
      <scheme val="minor"/>
    </font>
    <font>
      <sz val="10"/>
      <color indexed="63"/>
      <name val="Arial"/>
      <family val="4"/>
      <scheme val="minor"/>
    </font>
    <font>
      <b/>
      <sz val="28"/>
      <color theme="1" tint="0.34998626667073579"/>
      <name val="Arial"/>
      <family val="2"/>
      <scheme val="minor"/>
    </font>
    <font>
      <sz val="12"/>
      <color theme="4"/>
      <name val="Arial"/>
      <family val="2"/>
      <scheme val="major"/>
    </font>
    <font>
      <sz val="10"/>
      <color theme="1"/>
      <name val="Arial"/>
      <family val="2"/>
      <scheme val="major"/>
    </font>
    <font>
      <b/>
      <sz val="12"/>
      <color theme="4"/>
      <name val="Arial"/>
      <family val="2"/>
      <scheme val="major"/>
    </font>
    <font>
      <b/>
      <sz val="10"/>
      <color theme="1"/>
      <name val="Arial"/>
      <family val="2"/>
      <scheme val="minor"/>
    </font>
    <font>
      <b/>
      <sz val="12"/>
      <color theme="4"/>
      <name val="Arial"/>
      <family val="2"/>
      <scheme val="minor"/>
    </font>
    <font>
      <sz val="10"/>
      <color theme="0"/>
      <name val="Arial"/>
      <family val="2"/>
      <scheme val="minor"/>
    </font>
    <font>
      <b/>
      <sz val="8.5"/>
      <color theme="1"/>
      <name val="Arial"/>
      <family val="2"/>
      <scheme val="minor"/>
    </font>
    <font>
      <sz val="8.5"/>
      <color theme="1"/>
      <name val="Arial"/>
      <family val="2"/>
      <scheme val="minor"/>
    </font>
    <font>
      <b/>
      <sz val="17"/>
      <color theme="4"/>
      <name val="Arial"/>
      <family val="2"/>
      <scheme val="major"/>
    </font>
    <font>
      <b/>
      <sz val="8.5"/>
      <color theme="1"/>
      <name val="Arial"/>
      <family val="2"/>
      <scheme val="major"/>
    </font>
    <font>
      <sz val="10"/>
      <color theme="1" tint="0.249977111117893"/>
      <name val="Arial"/>
      <family val="2"/>
      <scheme val="minor"/>
    </font>
    <font>
      <sz val="12"/>
      <color theme="1" tint="0.249977111117893"/>
      <name val="Arial"/>
      <family val="2"/>
      <scheme val="minor"/>
    </font>
    <font>
      <sz val="10.5"/>
      <color theme="1" tint="0.249977111117893"/>
      <name val="Arial"/>
      <family val="2"/>
      <scheme val="minor"/>
    </font>
    <font>
      <b/>
      <sz val="10.5"/>
      <name val="Arial"/>
      <family val="2"/>
      <scheme val="minor"/>
    </font>
    <font>
      <b/>
      <sz val="24"/>
      <color theme="4"/>
      <name val="Arial"/>
      <family val="2"/>
      <scheme val="major"/>
    </font>
    <font>
      <b/>
      <sz val="17"/>
      <color theme="6"/>
      <name val="Arial"/>
      <family val="2"/>
      <scheme val="major"/>
    </font>
    <font>
      <b/>
      <sz val="17"/>
      <color theme="6"/>
      <name val="Arial"/>
      <family val="4"/>
      <scheme val="minor"/>
    </font>
    <font>
      <b/>
      <sz val="12"/>
      <color theme="6"/>
      <name val="Arial"/>
      <family val="2"/>
      <scheme val="major"/>
    </font>
    <font>
      <b/>
      <sz val="24"/>
      <color theme="6"/>
      <name val="Arial"/>
      <family val="2"/>
      <scheme val="major"/>
    </font>
    <font>
      <b/>
      <sz val="12"/>
      <color theme="6"/>
      <name val="Arial"/>
      <family val="2"/>
      <scheme val="minor"/>
    </font>
  </fonts>
  <fills count="7">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indexed="64"/>
      </patternFill>
    </fill>
    <fill>
      <patternFill patternType="solid">
        <fgColor theme="0" tint="-4.9989318521683403E-2"/>
        <bgColor indexed="64"/>
      </patternFill>
    </fill>
    <fill>
      <patternFill patternType="solid">
        <fgColor theme="6"/>
        <bgColor indexed="64"/>
      </patternFill>
    </fill>
  </fills>
  <borders count="45">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thin">
        <color theme="5"/>
      </bottom>
      <diagonal/>
    </border>
    <border>
      <left/>
      <right/>
      <top style="thin">
        <color theme="5"/>
      </top>
      <bottom style="thin">
        <color theme="5"/>
      </bottom>
      <diagonal/>
    </border>
    <border>
      <left/>
      <right/>
      <top/>
      <bottom style="thin">
        <color theme="4" tint="0.79998168889431442"/>
      </bottom>
      <diagonal/>
    </border>
    <border>
      <left/>
      <right/>
      <top style="thin">
        <color theme="5"/>
      </top>
      <bottom style="thin">
        <color theme="4" tint="0.79998168889431442"/>
      </bottom>
      <diagonal/>
    </border>
    <border>
      <left/>
      <right style="thin">
        <color theme="0"/>
      </right>
      <top/>
      <bottom/>
      <diagonal/>
    </border>
    <border>
      <left style="thin">
        <color theme="4" tint="0.79998168889431442"/>
      </left>
      <right/>
      <top/>
      <bottom/>
      <diagonal/>
    </border>
    <border>
      <left style="thin">
        <color theme="4" tint="0.79998168889431442"/>
      </left>
      <right style="thin">
        <color theme="0"/>
      </right>
      <top/>
      <bottom/>
      <diagonal/>
    </border>
    <border>
      <left/>
      <right style="thin">
        <color theme="4" tint="0.79998168889431442"/>
      </right>
      <top/>
      <bottom/>
      <diagonal/>
    </border>
    <border>
      <left style="thin">
        <color theme="0"/>
      </left>
      <right/>
      <top/>
      <bottom/>
      <diagonal/>
    </border>
    <border>
      <left style="thin">
        <color theme="4" tint="0.79998168889431442"/>
      </left>
      <right style="thin">
        <color theme="0"/>
      </right>
      <top/>
      <bottom style="thin">
        <color theme="4" tint="0.79995117038483843"/>
      </bottom>
      <diagonal/>
    </border>
    <border>
      <left style="thin">
        <color theme="0"/>
      </left>
      <right/>
      <top/>
      <bottom style="thin">
        <color theme="4" tint="0.79995117038483843"/>
      </bottom>
      <diagonal/>
    </border>
    <border>
      <left/>
      <right style="thin">
        <color theme="0"/>
      </right>
      <top/>
      <bottom style="thin">
        <color theme="4" tint="0.79995117038483843"/>
      </bottom>
      <diagonal/>
    </border>
    <border>
      <left/>
      <right/>
      <top/>
      <bottom style="thin">
        <color theme="4" tint="0.79995117038483843"/>
      </bottom>
      <diagonal/>
    </border>
    <border>
      <left/>
      <right style="thin">
        <color theme="4" tint="0.79992065187536243"/>
      </right>
      <top/>
      <bottom style="thin">
        <color theme="4" tint="0.79995117038483843"/>
      </bottom>
      <diagonal/>
    </border>
    <border>
      <left/>
      <right style="thin">
        <color theme="4" tint="0.79992065187536243"/>
      </right>
      <top/>
      <bottom/>
      <diagonal/>
    </border>
    <border>
      <left/>
      <right/>
      <top style="thin">
        <color theme="4" tint="0.79998168889431442"/>
      </top>
      <bottom style="thin">
        <color theme="5"/>
      </bottom>
      <diagonal/>
    </border>
    <border>
      <left/>
      <right style="thin">
        <color theme="4" tint="0.79995117038483843"/>
      </right>
      <top style="thin">
        <color theme="5"/>
      </top>
      <bottom style="thin">
        <color theme="5"/>
      </bottom>
      <diagonal/>
    </border>
    <border>
      <left/>
      <right style="thin">
        <color theme="4" tint="0.79995117038483843"/>
      </right>
      <top style="thin">
        <color theme="4" tint="0.79998168889431442"/>
      </top>
      <bottom style="thin">
        <color theme="5"/>
      </bottom>
      <diagonal/>
    </border>
    <border>
      <left/>
      <right style="thin">
        <color theme="4" tint="0.79995117038483843"/>
      </right>
      <top style="thin">
        <color theme="5"/>
      </top>
      <bottom style="thin">
        <color theme="4" tint="0.79998168889431442"/>
      </bottom>
      <diagonal/>
    </border>
    <border>
      <left style="thin">
        <color theme="4" tint="0.79998168889431442"/>
      </left>
      <right style="thin">
        <color theme="0"/>
      </right>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4" tint="0.79998168889431442"/>
      </left>
      <right style="thin">
        <color theme="0"/>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style="thin">
        <color theme="4" tint="0.79992065187536243"/>
      </right>
      <top/>
      <bottom style="thin">
        <color theme="0"/>
      </bottom>
      <diagonal/>
    </border>
    <border>
      <left/>
      <right style="thin">
        <color theme="4" tint="0.79992065187536243"/>
      </right>
      <top style="thin">
        <color theme="0"/>
      </top>
      <bottom/>
      <diagonal/>
    </border>
    <border>
      <left style="thin">
        <color theme="4" tint="0.79992065187536243"/>
      </left>
      <right/>
      <top/>
      <bottom/>
      <diagonal/>
    </border>
    <border>
      <left style="thin">
        <color theme="4" tint="0.79992065187536243"/>
      </left>
      <right/>
      <top/>
      <bottom style="thin">
        <color theme="4" tint="0.79989013336588644"/>
      </bottom>
      <diagonal/>
    </border>
    <border>
      <left/>
      <right/>
      <top/>
      <bottom style="thin">
        <color theme="4" tint="0.79989013336588644"/>
      </bottom>
      <diagonal/>
    </border>
    <border>
      <left/>
      <right style="thin">
        <color theme="4" tint="0.79989013336588644"/>
      </right>
      <top/>
      <bottom style="thin">
        <color theme="4" tint="0.79989013336588644"/>
      </bottom>
      <diagonal/>
    </border>
    <border>
      <left style="thin">
        <color theme="4" tint="0.79992065187536243"/>
      </left>
      <right/>
      <top style="thin">
        <color theme="4" tint="0.79989013336588644"/>
      </top>
      <bottom/>
      <diagonal/>
    </border>
    <border>
      <left/>
      <right/>
      <top style="thin">
        <color theme="4" tint="0.79989013336588644"/>
      </top>
      <bottom/>
      <diagonal/>
    </border>
    <border>
      <left/>
      <right style="thin">
        <color theme="4" tint="0.79989013336588644"/>
      </right>
      <top style="thin">
        <color theme="4" tint="0.79989013336588644"/>
      </top>
      <bottom/>
      <diagonal/>
    </border>
    <border>
      <left style="thin">
        <color theme="4" tint="0.79992065187536243"/>
      </left>
      <right/>
      <top style="thin">
        <color theme="4" tint="0.79998168889431442"/>
      </top>
      <bottom/>
      <diagonal/>
    </border>
    <border>
      <left/>
      <right/>
      <top style="thin">
        <color theme="4" tint="0.79989013336588644"/>
      </top>
      <bottom style="thin">
        <color theme="5"/>
      </bottom>
      <diagonal/>
    </border>
    <border>
      <left/>
      <right style="thin">
        <color theme="4" tint="0.79995117038483843"/>
      </right>
      <top style="thin">
        <color theme="4" tint="0.79989013336588644"/>
      </top>
      <bottom style="thin">
        <color theme="5"/>
      </bottom>
      <diagonal/>
    </border>
    <border>
      <left style="thin">
        <color theme="4" tint="0.79998168889431442"/>
      </left>
      <right/>
      <top style="thin">
        <color theme="4" tint="0.79995117038483843"/>
      </top>
      <bottom/>
      <diagonal/>
    </border>
    <border>
      <left/>
      <right/>
      <top style="thin">
        <color theme="4" tint="0.79995117038483843"/>
      </top>
      <bottom/>
      <diagonal/>
    </border>
    <border>
      <left/>
      <right style="thin">
        <color theme="4" tint="0.79992065187536243"/>
      </right>
      <top style="thin">
        <color theme="4" tint="0.79995117038483843"/>
      </top>
      <bottom/>
      <diagonal/>
    </border>
    <border>
      <left style="thin">
        <color theme="4" tint="0.79998168889431442"/>
      </left>
      <right/>
      <top/>
      <bottom style="thin">
        <color theme="4" tint="0.79995117038483843"/>
      </bottom>
      <diagonal/>
    </border>
    <border>
      <left/>
      <right style="thin">
        <color theme="4" tint="0.79985961485641044"/>
      </right>
      <top style="thin">
        <color theme="4" tint="0.79985961485641044"/>
      </top>
      <bottom/>
      <diagonal/>
    </border>
    <border>
      <left/>
      <right style="thin">
        <color theme="4" tint="0.79985961485641044"/>
      </right>
      <top/>
      <bottom style="thin">
        <color theme="4" tint="0.79989013336588644"/>
      </bottom>
      <diagonal/>
    </border>
  </borders>
  <cellStyleXfs count="5">
    <xf numFmtId="0" fontId="0" fillId="0" borderId="0"/>
    <xf numFmtId="0" fontId="4" fillId="0" borderId="0"/>
    <xf numFmtId="0" fontId="3" fillId="2" borderId="1" applyNumberFormat="0" applyAlignment="0" applyProtection="0"/>
    <xf numFmtId="0" fontId="5" fillId="3" borderId="0" applyNumberFormat="0" applyBorder="0" applyAlignment="0" applyProtection="0"/>
    <xf numFmtId="0" fontId="6" fillId="0" borderId="0" applyNumberFormat="0" applyFill="0" applyAlignment="0" applyProtection="0"/>
  </cellStyleXfs>
  <cellXfs count="115">
    <xf numFmtId="0" fontId="0" fillId="0" borderId="0" xfId="0"/>
    <xf numFmtId="0" fontId="0" fillId="0" borderId="0" xfId="0" applyFont="1"/>
    <xf numFmtId="0" fontId="8" fillId="0" borderId="0" xfId="0" applyFont="1" applyFill="1" applyBorder="1" applyAlignment="1">
      <alignment horizontal="center" vertical="center"/>
    </xf>
    <xf numFmtId="0" fontId="12" fillId="4" borderId="8" xfId="0" applyFont="1" applyFill="1" applyBorder="1" applyAlignment="1">
      <alignment horizontal="left" indent="1"/>
    </xf>
    <xf numFmtId="0" fontId="0" fillId="0" borderId="9" xfId="0" applyFont="1" applyBorder="1"/>
    <xf numFmtId="0" fontId="0" fillId="0" borderId="16" xfId="0" applyFont="1" applyBorder="1"/>
    <xf numFmtId="0" fontId="14" fillId="5" borderId="21" xfId="0" applyFont="1" applyFill="1" applyBorder="1" applyAlignment="1">
      <alignment horizontal="left" vertical="top" indent="1"/>
    </xf>
    <xf numFmtId="0" fontId="14" fillId="5" borderId="11" xfId="0" applyFont="1" applyFill="1" applyBorder="1" applyAlignment="1">
      <alignment horizontal="left" vertical="top" indent="1"/>
    </xf>
    <xf numFmtId="49" fontId="13" fillId="5" borderId="8" xfId="0" applyNumberFormat="1" applyFont="1" applyFill="1" applyBorder="1" applyAlignment="1">
      <alignment horizontal="left" indent="1"/>
    </xf>
    <xf numFmtId="49" fontId="13" fillId="5" borderId="24" xfId="0" applyNumberFormat="1" applyFont="1" applyFill="1" applyBorder="1" applyAlignment="1">
      <alignment horizontal="left" indent="1"/>
    </xf>
    <xf numFmtId="164" fontId="19" fillId="0" borderId="0" xfId="0" applyNumberFormat="1" applyFont="1" applyFill="1" applyBorder="1" applyAlignment="1">
      <alignment horizontal="center" vertical="center" wrapText="1"/>
    </xf>
    <xf numFmtId="0" fontId="9" fillId="0" borderId="0" xfId="0" applyFont="1" applyBorder="1" applyAlignment="1">
      <alignment horizontal="right" vertical="center" textRotation="90"/>
    </xf>
    <xf numFmtId="0" fontId="10" fillId="0" borderId="0" xfId="0" applyFont="1" applyBorder="1" applyAlignment="1">
      <alignment horizontal="right" vertical="center"/>
    </xf>
    <xf numFmtId="0" fontId="10" fillId="0" borderId="4" xfId="0" applyFont="1" applyBorder="1" applyAlignment="1">
      <alignment horizontal="right" vertical="center"/>
    </xf>
    <xf numFmtId="0" fontId="7" fillId="0" borderId="0" xfId="0" applyFont="1" applyBorder="1" applyAlignment="1">
      <alignment horizontal="right" vertical="center" textRotation="90"/>
    </xf>
    <xf numFmtId="164" fontId="1" fillId="0" borderId="14" xfId="0" applyNumberFormat="1" applyFont="1" applyFill="1" applyBorder="1" applyAlignment="1">
      <alignment horizontal="right" vertical="center"/>
    </xf>
    <xf numFmtId="0" fontId="10" fillId="0" borderId="2" xfId="0" applyFont="1" applyBorder="1" applyAlignment="1">
      <alignment horizontal="center"/>
    </xf>
    <xf numFmtId="0" fontId="10" fillId="0" borderId="3" xfId="0" applyFont="1" applyBorder="1" applyAlignment="1">
      <alignment horizontal="center"/>
    </xf>
    <xf numFmtId="0" fontId="10" fillId="0" borderId="5" xfId="0" applyFont="1" applyBorder="1" applyAlignment="1">
      <alignment horizontal="center"/>
    </xf>
    <xf numFmtId="0" fontId="10" fillId="0" borderId="4" xfId="0" applyFont="1" applyBorder="1" applyAlignment="1">
      <alignment horizontal="center"/>
    </xf>
    <xf numFmtId="164" fontId="10" fillId="0" borderId="14" xfId="0" applyNumberFormat="1" applyFont="1" applyFill="1" applyBorder="1" applyAlignment="1">
      <alignment horizontal="center"/>
    </xf>
    <xf numFmtId="0" fontId="0" fillId="0" borderId="40" xfId="0" applyFont="1" applyBorder="1"/>
    <xf numFmtId="0" fontId="0" fillId="0" borderId="41" xfId="0" applyFont="1" applyBorder="1"/>
    <xf numFmtId="164" fontId="20" fillId="0" borderId="14" xfId="0" applyNumberFormat="1" applyFont="1" applyFill="1" applyBorder="1" applyAlignment="1">
      <alignment horizontal="left" vertical="center" wrapText="1" indent="1"/>
    </xf>
    <xf numFmtId="0" fontId="0" fillId="0" borderId="15" xfId="0" applyFont="1" applyBorder="1"/>
    <xf numFmtId="0" fontId="0" fillId="0" borderId="43" xfId="0" applyFont="1" applyBorder="1"/>
    <xf numFmtId="0" fontId="0" fillId="0" borderId="44" xfId="0" applyFont="1" applyBorder="1"/>
    <xf numFmtId="0" fontId="12" fillId="6" borderId="8" xfId="0" applyFont="1" applyFill="1" applyBorder="1" applyAlignment="1">
      <alignment horizontal="left" indent="1"/>
    </xf>
    <xf numFmtId="0" fontId="17" fillId="0" borderId="3" xfId="0" applyFont="1" applyBorder="1" applyAlignment="1">
      <alignment horizontal="left"/>
    </xf>
    <xf numFmtId="0" fontId="17" fillId="0" borderId="1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17" fillId="0" borderId="3" xfId="0" applyFont="1" applyBorder="1" applyAlignment="1">
      <alignment horizontal="left"/>
    </xf>
    <xf numFmtId="0" fontId="17" fillId="0" borderId="1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24" fillId="0" borderId="36" xfId="0" applyFont="1" applyBorder="1" applyAlignment="1">
      <alignment vertical="center" textRotation="90"/>
    </xf>
    <xf numFmtId="0" fontId="24" fillId="0" borderId="29" xfId="0" applyFont="1" applyBorder="1" applyAlignment="1">
      <alignment vertical="center" textRotation="90"/>
    </xf>
    <xf numFmtId="0" fontId="24" fillId="0" borderId="36" xfId="0" applyFont="1" applyBorder="1" applyAlignment="1">
      <alignment horizontal="right" vertical="center" textRotation="90"/>
    </xf>
    <xf numFmtId="0" fontId="24" fillId="0" borderId="29" xfId="0" applyFont="1" applyBorder="1" applyAlignment="1">
      <alignment horizontal="right" vertical="center" textRotation="90"/>
    </xf>
    <xf numFmtId="0" fontId="12" fillId="6" borderId="10" xfId="0" applyFont="1" applyFill="1" applyBorder="1" applyAlignment="1">
      <alignment horizontal="left" indent="1"/>
    </xf>
    <xf numFmtId="0" fontId="12" fillId="6" borderId="16" xfId="0" applyFont="1" applyFill="1" applyBorder="1" applyAlignment="1">
      <alignment horizontal="left" indent="1"/>
    </xf>
    <xf numFmtId="0" fontId="12" fillId="6" borderId="6" xfId="0" applyFont="1" applyFill="1" applyBorder="1" applyAlignment="1">
      <alignment horizontal="left" indent="1"/>
    </xf>
    <xf numFmtId="49" fontId="13" fillId="5" borderId="10" xfId="0" applyNumberFormat="1" applyFont="1" applyFill="1" applyBorder="1" applyAlignment="1">
      <alignment horizontal="left" indent="1"/>
    </xf>
    <xf numFmtId="49" fontId="13" fillId="5" borderId="16" xfId="0" applyNumberFormat="1" applyFont="1" applyFill="1" applyBorder="1" applyAlignment="1">
      <alignment horizontal="left" indent="1"/>
    </xf>
    <xf numFmtId="0" fontId="14" fillId="5" borderId="22" xfId="0" applyFont="1" applyFill="1" applyBorder="1" applyAlignment="1">
      <alignment horizontal="left" vertical="top" indent="1"/>
    </xf>
    <xf numFmtId="0" fontId="14" fillId="5" borderId="23" xfId="0" applyFont="1" applyFill="1" applyBorder="1" applyAlignment="1">
      <alignment horizontal="left" vertical="top" indent="1"/>
    </xf>
    <xf numFmtId="164" fontId="14" fillId="5" borderId="22" xfId="0" applyNumberFormat="1" applyFont="1" applyFill="1" applyBorder="1" applyAlignment="1">
      <alignment horizontal="left" vertical="top" indent="1"/>
    </xf>
    <xf numFmtId="164" fontId="14" fillId="5" borderId="27" xfId="0" applyNumberFormat="1" applyFont="1" applyFill="1" applyBorder="1" applyAlignment="1">
      <alignment horizontal="left" vertical="top" indent="1"/>
    </xf>
    <xf numFmtId="49" fontId="13" fillId="5" borderId="6" xfId="0" applyNumberFormat="1" applyFont="1" applyFill="1" applyBorder="1" applyAlignment="1">
      <alignment horizontal="left" indent="1"/>
    </xf>
    <xf numFmtId="49" fontId="13" fillId="5" borderId="10" xfId="0" applyNumberFormat="1" applyFont="1" applyFill="1" applyBorder="1" applyAlignment="1">
      <alignment horizontal="left" vertical="center" indent="1"/>
    </xf>
    <xf numFmtId="49" fontId="13" fillId="5" borderId="16" xfId="0" applyNumberFormat="1" applyFont="1" applyFill="1" applyBorder="1" applyAlignment="1">
      <alignment horizontal="left" vertical="center" indent="1"/>
    </xf>
    <xf numFmtId="0" fontId="22" fillId="0" borderId="33" xfId="0" applyFont="1" applyBorder="1" applyAlignment="1">
      <alignment horizontal="left" vertical="center" indent="2"/>
    </xf>
    <xf numFmtId="0" fontId="22" fillId="0" borderId="34" xfId="0" applyFont="1" applyBorder="1" applyAlignment="1">
      <alignment horizontal="left" vertical="center" indent="2"/>
    </xf>
    <xf numFmtId="0" fontId="22" fillId="0" borderId="30" xfId="0" applyFont="1" applyBorder="1" applyAlignment="1">
      <alignment horizontal="left" vertical="center" indent="2"/>
    </xf>
    <xf numFmtId="0" fontId="22" fillId="0" borderId="31" xfId="0" applyFont="1" applyBorder="1" applyAlignment="1">
      <alignment horizontal="left" vertical="center" indent="2"/>
    </xf>
    <xf numFmtId="0" fontId="24" fillId="0" borderId="33" xfId="0" applyFont="1" applyBorder="1" applyAlignment="1">
      <alignment horizontal="right" vertical="center" textRotation="90"/>
    </xf>
    <xf numFmtId="0" fontId="23" fillId="0" borderId="35" xfId="0" applyFont="1" applyFill="1" applyBorder="1" applyAlignment="1">
      <alignment vertical="center"/>
    </xf>
    <xf numFmtId="0" fontId="23" fillId="0" borderId="32" xfId="0" applyFont="1" applyFill="1" applyBorder="1" applyAlignment="1">
      <alignment vertical="center"/>
    </xf>
    <xf numFmtId="49" fontId="13" fillId="5" borderId="25" xfId="0" applyNumberFormat="1" applyFont="1" applyFill="1" applyBorder="1" applyAlignment="1">
      <alignment horizontal="left" indent="1"/>
    </xf>
    <xf numFmtId="49" fontId="13" fillId="5" borderId="26" xfId="0" applyNumberFormat="1" applyFont="1" applyFill="1" applyBorder="1" applyAlignment="1">
      <alignment horizontal="left" indent="1"/>
    </xf>
    <xf numFmtId="49" fontId="13" fillId="5" borderId="28" xfId="0" applyNumberFormat="1" applyFont="1" applyFill="1" applyBorder="1" applyAlignment="1">
      <alignment horizontal="left" indent="1"/>
    </xf>
    <xf numFmtId="0" fontId="14" fillId="5" borderId="12" xfId="0" applyFont="1" applyFill="1" applyBorder="1" applyAlignment="1">
      <alignment horizontal="left" vertical="top" indent="1"/>
    </xf>
    <xf numFmtId="0" fontId="14" fillId="5" borderId="13" xfId="0" applyFont="1" applyFill="1" applyBorder="1" applyAlignment="1">
      <alignment horizontal="left" vertical="top" indent="1"/>
    </xf>
    <xf numFmtId="0" fontId="16" fillId="5" borderId="22" xfId="0" applyFont="1" applyFill="1" applyBorder="1" applyAlignment="1">
      <alignment horizontal="left" vertical="top" indent="1"/>
    </xf>
    <xf numFmtId="0" fontId="16" fillId="5" borderId="27" xfId="0" applyFont="1" applyFill="1" applyBorder="1" applyAlignment="1">
      <alignment horizontal="left" vertical="top" indent="1"/>
    </xf>
    <xf numFmtId="0" fontId="14" fillId="5" borderId="27" xfId="0" applyFont="1" applyFill="1" applyBorder="1" applyAlignment="1">
      <alignment horizontal="left" vertical="top" indent="1"/>
    </xf>
    <xf numFmtId="0" fontId="25" fillId="0" borderId="39" xfId="0" applyFont="1" applyFill="1" applyBorder="1" applyAlignment="1">
      <alignment horizontal="center" vertical="center" textRotation="90"/>
    </xf>
    <xf numFmtId="0" fontId="25" fillId="0" borderId="7" xfId="0" applyFont="1" applyFill="1" applyBorder="1" applyAlignment="1">
      <alignment horizontal="center" vertical="center" textRotation="90"/>
    </xf>
    <xf numFmtId="0" fontId="25" fillId="0" borderId="42" xfId="0" applyFont="1" applyFill="1" applyBorder="1" applyAlignment="1">
      <alignment horizontal="center" vertical="center" textRotation="90"/>
    </xf>
    <xf numFmtId="0" fontId="26" fillId="0" borderId="7" xfId="0" applyFont="1" applyBorder="1" applyAlignment="1">
      <alignment horizontal="left" vertical="center"/>
    </xf>
    <xf numFmtId="0" fontId="26" fillId="0" borderId="0" xfId="0" applyFont="1" applyAlignment="1">
      <alignment horizontal="left" vertical="center"/>
    </xf>
    <xf numFmtId="0" fontId="26" fillId="0" borderId="16" xfId="0" applyFont="1" applyBorder="1" applyAlignment="1">
      <alignment horizontal="left" vertical="center"/>
    </xf>
    <xf numFmtId="0" fontId="17" fillId="0" borderId="3" xfId="0" applyFont="1" applyBorder="1" applyAlignment="1">
      <alignment horizontal="left"/>
    </xf>
    <xf numFmtId="0" fontId="17" fillId="0" borderId="18" xfId="0" applyFont="1" applyBorder="1" applyAlignment="1">
      <alignment horizontal="left"/>
    </xf>
    <xf numFmtId="164" fontId="18" fillId="0" borderId="5" xfId="0" applyNumberFormat="1" applyFont="1" applyFill="1" applyBorder="1" applyAlignment="1">
      <alignment horizontal="left"/>
    </xf>
    <xf numFmtId="164" fontId="18" fillId="0" borderId="20" xfId="0" applyNumberFormat="1" applyFont="1" applyFill="1" applyBorder="1" applyAlignment="1">
      <alignment horizontal="left"/>
    </xf>
    <xf numFmtId="49" fontId="16" fillId="5" borderId="10" xfId="0" applyNumberFormat="1" applyFont="1" applyFill="1" applyBorder="1" applyAlignment="1">
      <alignment horizontal="left" indent="1"/>
    </xf>
    <xf numFmtId="49" fontId="16" fillId="5" borderId="16" xfId="0" applyNumberFormat="1" applyFont="1" applyFill="1" applyBorder="1" applyAlignment="1">
      <alignment horizontal="left" indent="1"/>
    </xf>
    <xf numFmtId="164" fontId="14" fillId="5" borderId="12" xfId="0" applyNumberFormat="1" applyFont="1" applyFill="1" applyBorder="1" applyAlignment="1">
      <alignment horizontal="left" vertical="top" indent="1"/>
    </xf>
    <xf numFmtId="164" fontId="14" fillId="5" borderId="15" xfId="0" applyNumberFormat="1" applyFont="1" applyFill="1" applyBorder="1" applyAlignment="1">
      <alignment horizontal="left" vertical="top" indent="1"/>
    </xf>
    <xf numFmtId="0" fontId="21" fillId="0" borderId="39" xfId="0" applyFont="1" applyFill="1" applyBorder="1" applyAlignment="1">
      <alignment horizontal="center" vertical="center" textRotation="90"/>
    </xf>
    <xf numFmtId="0" fontId="21" fillId="0" borderId="7" xfId="0" applyFont="1" applyFill="1" applyBorder="1" applyAlignment="1">
      <alignment horizontal="center" vertical="center" textRotation="90"/>
    </xf>
    <xf numFmtId="0" fontId="21" fillId="0" borderId="42" xfId="0" applyFont="1" applyFill="1" applyBorder="1" applyAlignment="1">
      <alignment horizontal="center" vertical="center" textRotation="90"/>
    </xf>
    <xf numFmtId="0" fontId="15" fillId="0" borderId="33" xfId="0" applyFont="1" applyBorder="1" applyAlignment="1">
      <alignment horizontal="left" vertical="center" indent="2"/>
    </xf>
    <xf numFmtId="0" fontId="15" fillId="0" borderId="34" xfId="0" applyFont="1" applyBorder="1" applyAlignment="1">
      <alignment horizontal="left" vertical="center" indent="2"/>
    </xf>
    <xf numFmtId="0" fontId="15" fillId="0" borderId="30" xfId="0" applyFont="1" applyBorder="1" applyAlignment="1">
      <alignment horizontal="left" vertical="center" indent="2"/>
    </xf>
    <xf numFmtId="0" fontId="15" fillId="0" borderId="31" xfId="0" applyFont="1" applyBorder="1" applyAlignment="1">
      <alignment horizontal="left" vertical="center" indent="2"/>
    </xf>
    <xf numFmtId="0" fontId="9" fillId="0" borderId="33" xfId="0" applyFont="1" applyBorder="1" applyAlignment="1">
      <alignment horizontal="right" vertical="center" textRotation="90"/>
    </xf>
    <xf numFmtId="0" fontId="9" fillId="0" borderId="29" xfId="0" applyFont="1" applyBorder="1" applyAlignment="1">
      <alignment horizontal="right" vertical="center" textRotation="90"/>
    </xf>
    <xf numFmtId="0" fontId="9" fillId="0" borderId="36" xfId="0" applyFont="1" applyBorder="1" applyAlignment="1">
      <alignment horizontal="right" vertical="center" textRotation="90"/>
    </xf>
    <xf numFmtId="0" fontId="11" fillId="0" borderId="7" xfId="0" applyFont="1" applyBorder="1" applyAlignment="1">
      <alignment horizontal="left" vertical="center"/>
    </xf>
    <xf numFmtId="0" fontId="11" fillId="0" borderId="0" xfId="0" applyFont="1" applyAlignment="1">
      <alignment horizontal="left" vertical="center"/>
    </xf>
    <xf numFmtId="0" fontId="11" fillId="0" borderId="16" xfId="0" applyFont="1" applyBorder="1" applyAlignment="1">
      <alignment horizontal="left" vertical="center"/>
    </xf>
    <xf numFmtId="0" fontId="12" fillId="4" borderId="10" xfId="0" applyFont="1" applyFill="1" applyBorder="1" applyAlignment="1">
      <alignment horizontal="left" indent="1"/>
    </xf>
    <xf numFmtId="0" fontId="12" fillId="4" borderId="6" xfId="0" applyFont="1" applyFill="1" applyBorder="1" applyAlignment="1">
      <alignment horizontal="left" indent="1"/>
    </xf>
    <xf numFmtId="0" fontId="12" fillId="4" borderId="16" xfId="0" applyFont="1" applyFill="1" applyBorder="1" applyAlignment="1">
      <alignment horizontal="left" indent="1"/>
    </xf>
    <xf numFmtId="0" fontId="9" fillId="0" borderId="36" xfId="0" applyFont="1" applyBorder="1" applyAlignment="1">
      <alignment vertical="center" textRotation="90"/>
    </xf>
    <xf numFmtId="0" fontId="9" fillId="0" borderId="29" xfId="0" applyFont="1" applyBorder="1" applyAlignment="1">
      <alignment vertical="center" textRotation="90"/>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0" fillId="0" borderId="0" xfId="0" applyAlignment="1">
      <alignment horizontal="center"/>
    </xf>
    <xf numFmtId="0" fontId="0" fillId="0" borderId="0" xfId="0" applyAlignment="1">
      <alignment horizontal="center" vertical="center" wrapText="1"/>
    </xf>
  </cellXfs>
  <cellStyles count="5">
    <cellStyle name="40% - Accent1 2" xfId="3"/>
    <cellStyle name="Accent1 2" xfId="2"/>
    <cellStyle name="Heading 1 2" xfId="4"/>
    <cellStyle name="Normal" xfId="0" builtinId="0" customBuiltin="1"/>
    <cellStyle name="Normal 2" xfId="1"/>
  </cellStyles>
  <dxfs count="59">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ont>
        <b/>
        <color theme="1"/>
      </font>
      <border diagonalUp="0" diagonalDown="0">
        <left/>
        <right/>
        <top/>
        <bottom/>
        <vertical/>
        <horizontal/>
      </border>
    </dxf>
    <dxf>
      <font>
        <b/>
        <color theme="1"/>
      </font>
      <border>
        <top style="double">
          <color theme="6" tint="-0.24994659260841701"/>
        </top>
      </border>
    </dxf>
    <dxf>
      <font>
        <color theme="0"/>
      </font>
      <fill>
        <patternFill patternType="solid">
          <fgColor theme="4"/>
          <bgColor theme="7"/>
        </patternFill>
      </fill>
      <border diagonalUp="0" diagonalDown="0">
        <left/>
        <right/>
        <top/>
        <bottom/>
        <vertical/>
        <horizontal/>
      </border>
    </dxf>
    <dxf>
      <font>
        <color theme="1"/>
      </font>
      <fill>
        <patternFill>
          <bgColor theme="0"/>
        </patternFill>
      </fill>
      <border>
        <left style="thin">
          <color theme="9" tint="0.59996337778862885"/>
        </left>
        <right style="thin">
          <color theme="9" tint="0.59996337778862885"/>
        </right>
        <top style="thin">
          <color theme="9" tint="0.59996337778862885"/>
        </top>
        <bottom style="thin">
          <color theme="9" tint="0.59996337778862885"/>
        </bottom>
        <vertical/>
        <horizontal style="dashDotDot">
          <color theme="9" tint="0.59996337778862885"/>
        </horizontal>
      </border>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9" tint="-0.249977111117893"/>
      </font>
    </dxf>
    <dxf>
      <font>
        <b/>
        <color theme="9" tint="-0.249977111117893"/>
      </font>
    </dxf>
    <dxf>
      <font>
        <b/>
        <color theme="9" tint="-0.249977111117893"/>
      </font>
      <border>
        <top style="thin">
          <color theme="9"/>
        </top>
      </border>
    </dxf>
    <dxf>
      <font>
        <b/>
        <color theme="9" tint="-0.249977111117893"/>
      </font>
      <border>
        <bottom style="thin">
          <color theme="9"/>
        </bottom>
      </border>
    </dxf>
    <dxf>
      <font>
        <color theme="9" tint="-0.249977111117893"/>
      </font>
      <fill>
        <patternFill>
          <bgColor theme="0"/>
        </patternFill>
      </fill>
      <border>
        <top style="thin">
          <color theme="9"/>
        </top>
        <bottom style="thin">
          <color theme="9"/>
        </bottom>
      </border>
    </dxf>
  </dxfs>
  <tableStyles count="2" defaultTableStyle="TableStyleMedium2" defaultPivotStyle="PivotStyleLight16">
    <tableStyle name="TableStyleLight7 2" pivot="0" count="7">
      <tableStyleElement type="wholeTable" dxfId="58"/>
      <tableStyleElement type="headerRow" dxfId="57"/>
      <tableStyleElement type="totalRow" dxfId="56"/>
      <tableStyleElement type="firstColumn" dxfId="55"/>
      <tableStyleElement type="lastColumn" dxfId="54"/>
      <tableStyleElement type="firstRowStripe" dxfId="53"/>
      <tableStyleElement type="firstColumnStripe" dxfId="52"/>
    </tableStyle>
    <tableStyle name="TableStyleLight9 2" pivot="0" count="4">
      <tableStyleElement type="wholeTable" dxfId="51"/>
      <tableStyleElement type="headerRow" dxfId="50"/>
      <tableStyleElement type="totalRow" dxfId="49"/>
      <tableStyleElement type="firstColumn" dxfId="4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Spin" dx="16" fmlaLink="$N$2" max="2999" min="1900" page="10" val="2019"/>
</file>

<file path=xl/drawings/drawing1.xml><?xml version="1.0" encoding="utf-8"?>
<xdr:wsDr xmlns:xdr="http://schemas.openxmlformats.org/drawingml/2006/spreadsheetDrawing" xmlns:a="http://schemas.openxmlformats.org/drawingml/2006/main">
  <xdr:twoCellAnchor>
    <xdr:from>
      <xdr:col>15</xdr:col>
      <xdr:colOff>38100</xdr:colOff>
      <xdr:row>1</xdr:row>
      <xdr:rowOff>28575</xdr:rowOff>
    </xdr:from>
    <xdr:to>
      <xdr:col>18</xdr:col>
      <xdr:colOff>552450</xdr:colOff>
      <xdr:row>2</xdr:row>
      <xdr:rowOff>238124</xdr:rowOff>
    </xdr:to>
    <xdr:sp macro="" textlink="">
      <xdr:nvSpPr>
        <xdr:cNvPr id="3" name="TextBox 2"/>
        <xdr:cNvSpPr txBox="1"/>
      </xdr:nvSpPr>
      <xdr:spPr>
        <a:xfrm>
          <a:off x="9639300" y="171450"/>
          <a:ext cx="2286000" cy="4190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000" b="1">
              <a:solidFill>
                <a:schemeClr val="accent3"/>
              </a:solidFill>
            </a:rPr>
            <a:t>Haga clic en el control de número para cambiar</a:t>
          </a:r>
          <a:r>
            <a:rPr lang="en-US" sz="1000" b="1" baseline="0">
              <a:solidFill>
                <a:schemeClr val="accent3"/>
              </a:solidFill>
            </a:rPr>
            <a:t> el año</a:t>
          </a:r>
        </a:p>
      </xdr:txBody>
    </xdr:sp>
    <xdr:clientData fPrintsWithSheet="0"/>
  </xdr:twoCellAnchor>
  <mc:AlternateContent xmlns:mc="http://schemas.openxmlformats.org/markup-compatibility/2006">
    <mc:Choice xmlns:a14="http://schemas.microsoft.com/office/drawing/2010/main" Requires="a14">
      <xdr:twoCellAnchor editAs="oneCell">
        <xdr:from>
          <xdr:col>14</xdr:col>
          <xdr:colOff>28575</xdr:colOff>
          <xdr:row>1</xdr:row>
          <xdr:rowOff>85725</xdr:rowOff>
        </xdr:from>
        <xdr:to>
          <xdr:col>15</xdr:col>
          <xdr:colOff>0</xdr:colOff>
          <xdr:row>2</xdr:row>
          <xdr:rowOff>161925</xdr:rowOff>
        </xdr:to>
        <xdr:sp macro="" textlink="">
          <xdr:nvSpPr>
            <xdr:cNvPr id="1025" name="Spinner 1"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10_college_cal">
  <a:themeElements>
    <a:clrScheme name="Assignment Calendar">
      <a:dk1>
        <a:sysClr val="windowText" lastClr="000000"/>
      </a:dk1>
      <a:lt1>
        <a:sysClr val="window" lastClr="FFFFFF"/>
      </a:lt1>
      <a:dk2>
        <a:srgbClr val="1F497D"/>
      </a:dk2>
      <a:lt2>
        <a:srgbClr val="EEECE1"/>
      </a:lt2>
      <a:accent1>
        <a:srgbClr val="39B5D4"/>
      </a:accent1>
      <a:accent2>
        <a:srgbClr val="FFCCCC"/>
      </a:accent2>
      <a:accent3>
        <a:srgbClr val="4DBB68"/>
      </a:accent3>
      <a:accent4>
        <a:srgbClr val="FFFB59"/>
      </a:accent4>
      <a:accent5>
        <a:srgbClr val="FF9900"/>
      </a:accent5>
      <a:accent6>
        <a:srgbClr val="AC75D5"/>
      </a:accent6>
      <a:hlink>
        <a:srgbClr val="57B5D4"/>
      </a:hlink>
      <a:folHlink>
        <a:srgbClr val="BA4F8B"/>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4" sqref="M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75" t="s">
        <v>3</v>
      </c>
      <c r="C2" s="21"/>
      <c r="D2" s="21"/>
      <c r="E2" s="21"/>
      <c r="F2" s="21"/>
      <c r="G2" s="21"/>
      <c r="H2" s="21"/>
      <c r="I2" s="21"/>
      <c r="J2" s="22"/>
      <c r="K2" s="60" t="s">
        <v>2</v>
      </c>
      <c r="L2" s="61">
        <v>2013</v>
      </c>
      <c r="M2" s="61"/>
      <c r="N2" s="65">
        <v>2019</v>
      </c>
    </row>
    <row r="3" spans="1:14" ht="21" customHeight="1" x14ac:dyDescent="0.2">
      <c r="A3" s="4"/>
      <c r="B3" s="76"/>
      <c r="C3" s="2" t="s">
        <v>4</v>
      </c>
      <c r="D3" s="2" t="s">
        <v>1</v>
      </c>
      <c r="E3" s="2" t="s">
        <v>5</v>
      </c>
      <c r="F3" s="2" t="s">
        <v>6</v>
      </c>
      <c r="G3" s="2" t="s">
        <v>7</v>
      </c>
      <c r="H3" s="2" t="s">
        <v>0</v>
      </c>
      <c r="I3" s="2" t="s">
        <v>8</v>
      </c>
      <c r="J3" s="5"/>
      <c r="K3" s="62"/>
      <c r="L3" s="63"/>
      <c r="M3" s="63"/>
      <c r="N3" s="66"/>
    </row>
    <row r="4" spans="1:14" ht="18" customHeight="1" x14ac:dyDescent="0.2">
      <c r="A4" s="4"/>
      <c r="B4" s="76"/>
      <c r="C4" s="10">
        <f>IF(DAY(JanSun1)=1,JanSun1-6,JanSun1+1)</f>
        <v>43465</v>
      </c>
      <c r="D4" s="10">
        <f>IF(DAY(JanSun1)=1,JanSun1-5,JanSun1+2)</f>
        <v>43466</v>
      </c>
      <c r="E4" s="10">
        <f>IF(DAY(JanSun1)=1,JanSun1-4,JanSun1+3)</f>
        <v>43467</v>
      </c>
      <c r="F4" s="10">
        <f>IF(DAY(JanSun1)=1,JanSun1-3,JanSun1+4)</f>
        <v>43468</v>
      </c>
      <c r="G4" s="10">
        <f>IF(DAY(JanSun1)=1,JanSun1-2,JanSun1+5)</f>
        <v>43469</v>
      </c>
      <c r="H4" s="10">
        <f>IF(DAY(JanSun1)=1,JanSun1-1,JanSun1+6)</f>
        <v>43470</v>
      </c>
      <c r="I4" s="10">
        <f>IF(DAY(JanSun1)=1,JanSun1,JanSun1+7)</f>
        <v>43471</v>
      </c>
      <c r="J4" s="5"/>
      <c r="K4" s="64" t="s">
        <v>11</v>
      </c>
      <c r="L4" s="16">
        <v>7</v>
      </c>
      <c r="M4" s="42" t="s">
        <v>66</v>
      </c>
      <c r="N4" s="43"/>
    </row>
    <row r="5" spans="1:14" ht="18" customHeight="1" x14ac:dyDescent="0.2">
      <c r="A5" s="4"/>
      <c r="B5" s="76"/>
      <c r="C5" s="10">
        <f>IF(DAY(JanSun1)=1,JanSun1+1,JanSun1+8)</f>
        <v>43472</v>
      </c>
      <c r="D5" s="10">
        <f>IF(DAY(JanSun1)=1,JanSun1+2,JanSun1+9)</f>
        <v>43473</v>
      </c>
      <c r="E5" s="10">
        <f>IF(DAY(JanSun1)=1,JanSun1+3,JanSun1+10)</f>
        <v>43474</v>
      </c>
      <c r="F5" s="10">
        <f>IF(DAY(JanSun1)=1,JanSun1+4,JanSun1+11)</f>
        <v>43475</v>
      </c>
      <c r="G5" s="10">
        <f>IF(DAY(JanSun1)=1,JanSun1+5,JanSun1+12)</f>
        <v>43476</v>
      </c>
      <c r="H5" s="10">
        <f>IF(DAY(JanSun1)=1,JanSun1+6,JanSun1+13)</f>
        <v>43477</v>
      </c>
      <c r="I5" s="10">
        <f>IF(DAY(JanSun1)=1,JanSun1+7,JanSun1+14)</f>
        <v>43478</v>
      </c>
      <c r="J5" s="5"/>
      <c r="K5" s="47"/>
      <c r="L5" s="17">
        <v>14</v>
      </c>
      <c r="M5" s="36" t="s">
        <v>67</v>
      </c>
      <c r="N5" s="37"/>
    </row>
    <row r="6" spans="1:14" ht="18" customHeight="1" x14ac:dyDescent="0.2">
      <c r="A6" s="4"/>
      <c r="B6" s="76"/>
      <c r="C6" s="10">
        <f>IF(DAY(JanSun1)=1,JanSun1+8,JanSun1+15)</f>
        <v>43479</v>
      </c>
      <c r="D6" s="10">
        <f>IF(DAY(JanSun1)=1,JanSun1+9,JanSun1+16)</f>
        <v>43480</v>
      </c>
      <c r="E6" s="10">
        <f>IF(DAY(JanSun1)=1,JanSun1+10,JanSun1+17)</f>
        <v>43481</v>
      </c>
      <c r="F6" s="10">
        <f>IF(DAY(JanSun1)=1,JanSun1+11,JanSun1+18)</f>
        <v>43482</v>
      </c>
      <c r="G6" s="10">
        <f>IF(DAY(JanSun1)=1,JanSun1+12,JanSun1+19)</f>
        <v>43483</v>
      </c>
      <c r="H6" s="10">
        <f>IF(DAY(JanSun1)=1,JanSun1+13,JanSun1+20)</f>
        <v>43484</v>
      </c>
      <c r="I6" s="10">
        <f>IF(DAY(JanSun1)=1,JanSun1+14,JanSun1+21)</f>
        <v>43485</v>
      </c>
      <c r="J6" s="5"/>
      <c r="K6" s="47"/>
      <c r="L6" s="17">
        <v>21</v>
      </c>
      <c r="M6" s="36" t="s">
        <v>68</v>
      </c>
      <c r="N6" s="37"/>
    </row>
    <row r="7" spans="1:14" ht="18" customHeight="1" x14ac:dyDescent="0.2">
      <c r="A7" s="4"/>
      <c r="B7" s="76"/>
      <c r="C7" s="10">
        <f>IF(DAY(JanSun1)=1,JanSun1+15,JanSun1+22)</f>
        <v>43486</v>
      </c>
      <c r="D7" s="10">
        <f>IF(DAY(JanSun1)=1,JanSun1+16,JanSun1+23)</f>
        <v>43487</v>
      </c>
      <c r="E7" s="10">
        <f>IF(DAY(JanSun1)=1,JanSun1+17,JanSun1+24)</f>
        <v>43488</v>
      </c>
      <c r="F7" s="10">
        <f>IF(DAY(JanSun1)=1,JanSun1+18,JanSun1+25)</f>
        <v>43489</v>
      </c>
      <c r="G7" s="10">
        <f>IF(DAY(JanSun1)=1,JanSun1+19,JanSun1+26)</f>
        <v>43490</v>
      </c>
      <c r="H7" s="10">
        <f>IF(DAY(JanSun1)=1,JanSun1+20,JanSun1+27)</f>
        <v>43491</v>
      </c>
      <c r="I7" s="10">
        <f>IF(DAY(JanSun1)=1,JanSun1+21,JanSun1+28)</f>
        <v>43492</v>
      </c>
      <c r="J7" s="5"/>
      <c r="K7" s="11"/>
      <c r="L7" s="17">
        <v>28</v>
      </c>
      <c r="M7" s="36" t="s">
        <v>69</v>
      </c>
      <c r="N7" s="37"/>
    </row>
    <row r="8" spans="1:14" ht="18.75" customHeight="1" x14ac:dyDescent="0.2">
      <c r="A8" s="4"/>
      <c r="B8" s="76"/>
      <c r="C8" s="10">
        <f>IF(DAY(JanSun1)=1,JanSun1+22,JanSun1+29)</f>
        <v>43493</v>
      </c>
      <c r="D8" s="10">
        <f>IF(DAY(JanSun1)=1,JanSun1+23,JanSun1+30)</f>
        <v>43494</v>
      </c>
      <c r="E8" s="10">
        <f>IF(DAY(JanSun1)=1,JanSun1+24,JanSun1+31)</f>
        <v>43495</v>
      </c>
      <c r="F8" s="10">
        <f>IF(DAY(JanSun1)=1,JanSun1+25,JanSun1+32)</f>
        <v>43496</v>
      </c>
      <c r="G8" s="10">
        <f>IF(DAY(JanSun1)=1,JanSun1+26,JanSun1+33)</f>
        <v>43497</v>
      </c>
      <c r="H8" s="10">
        <f>IF(DAY(JanSun1)=1,JanSun1+27,JanSun1+34)</f>
        <v>43498</v>
      </c>
      <c r="I8" s="10">
        <f>IF(DAY(JanSun1)=1,JanSun1+28,JanSun1+35)</f>
        <v>43499</v>
      </c>
      <c r="J8" s="5"/>
      <c r="K8" s="11"/>
      <c r="L8" s="17"/>
      <c r="M8" s="36"/>
      <c r="N8" s="37"/>
    </row>
    <row r="9" spans="1:14" ht="18" customHeight="1" x14ac:dyDescent="0.2">
      <c r="A9" s="4"/>
      <c r="B9" s="76"/>
      <c r="C9" s="10">
        <f>IF(DAY(JanSun1)=1,JanSun1+29,JanSun1+36)</f>
        <v>43500</v>
      </c>
      <c r="D9" s="10">
        <f>IF(DAY(JanSun1)=1,JanSun1+30,JanSun1+37)</f>
        <v>43501</v>
      </c>
      <c r="E9" s="10">
        <f>IF(DAY(JanSun1)=1,JanSun1+31,JanSun1+38)</f>
        <v>43502</v>
      </c>
      <c r="F9" s="10">
        <f>IF(DAY(JanSun1)=1,JanSun1+32,JanSun1+39)</f>
        <v>43503</v>
      </c>
      <c r="G9" s="10">
        <f>IF(DAY(JanSun1)=1,JanSun1+33,JanSun1+40)</f>
        <v>43504</v>
      </c>
      <c r="H9" s="10">
        <f>IF(DAY(JanSun1)=1,JanSun1+34,JanSun1+41)</f>
        <v>43505</v>
      </c>
      <c r="I9" s="10">
        <f>IF(DAY(JanSun1)=1,JanSun1+35,JanSun1+42)</f>
        <v>43506</v>
      </c>
      <c r="J9" s="5"/>
      <c r="K9" s="12"/>
      <c r="L9" s="18"/>
      <c r="M9" s="38"/>
      <c r="N9" s="39"/>
    </row>
    <row r="10" spans="1:14" ht="18" customHeight="1" x14ac:dyDescent="0.2">
      <c r="A10" s="4"/>
      <c r="B10" s="77"/>
      <c r="C10" s="23"/>
      <c r="D10" s="23"/>
      <c r="E10" s="23"/>
      <c r="F10" s="23"/>
      <c r="G10" s="23"/>
      <c r="H10" s="23"/>
      <c r="I10" s="23"/>
      <c r="J10" s="24"/>
      <c r="K10" s="46" t="s">
        <v>12</v>
      </c>
      <c r="L10" s="16">
        <v>1</v>
      </c>
      <c r="M10" s="40" t="s">
        <v>26</v>
      </c>
      <c r="N10" s="41"/>
    </row>
    <row r="11" spans="1:14" ht="18" customHeight="1" x14ac:dyDescent="0.2">
      <c r="A11" s="4"/>
      <c r="B11" s="78" t="s">
        <v>10</v>
      </c>
      <c r="C11" s="79"/>
      <c r="D11" s="79"/>
      <c r="E11" s="79"/>
      <c r="F11" s="79"/>
      <c r="G11" s="79"/>
      <c r="H11" s="79"/>
      <c r="I11" s="79"/>
      <c r="J11" s="80"/>
      <c r="K11" s="47"/>
      <c r="L11" s="17">
        <v>8</v>
      </c>
      <c r="M11" s="36" t="s">
        <v>70</v>
      </c>
      <c r="N11" s="37"/>
    </row>
    <row r="12" spans="1:14" ht="18" customHeight="1" x14ac:dyDescent="0.2">
      <c r="A12" s="4"/>
      <c r="B12" s="78"/>
      <c r="C12" s="79"/>
      <c r="D12" s="79"/>
      <c r="E12" s="79"/>
      <c r="F12" s="79"/>
      <c r="G12" s="79"/>
      <c r="H12" s="79"/>
      <c r="I12" s="79"/>
      <c r="J12" s="80"/>
      <c r="K12" s="47"/>
      <c r="L12" s="17">
        <v>15</v>
      </c>
      <c r="M12" s="36" t="s">
        <v>71</v>
      </c>
      <c r="N12" s="37"/>
    </row>
    <row r="13" spans="1:14" ht="18" customHeight="1" x14ac:dyDescent="0.2">
      <c r="B13" s="27" t="s">
        <v>11</v>
      </c>
      <c r="C13" s="48" t="s">
        <v>12</v>
      </c>
      <c r="D13" s="50"/>
      <c r="E13" s="48" t="s">
        <v>13</v>
      </c>
      <c r="F13" s="50"/>
      <c r="G13" s="48" t="s">
        <v>14</v>
      </c>
      <c r="H13" s="50"/>
      <c r="I13" s="48" t="s">
        <v>15</v>
      </c>
      <c r="J13" s="49"/>
      <c r="K13" s="11"/>
      <c r="L13" s="17">
        <v>22</v>
      </c>
      <c r="M13" s="36" t="s">
        <v>72</v>
      </c>
      <c r="N13" s="37"/>
    </row>
    <row r="14" spans="1:14" ht="18" customHeight="1" x14ac:dyDescent="0.2">
      <c r="B14" s="8"/>
      <c r="C14" s="51"/>
      <c r="D14" s="57"/>
      <c r="E14" s="51"/>
      <c r="F14" s="57"/>
      <c r="G14" s="51"/>
      <c r="H14" s="57"/>
      <c r="I14" s="51"/>
      <c r="J14" s="52"/>
      <c r="K14" s="11"/>
      <c r="L14" s="17">
        <v>29</v>
      </c>
      <c r="M14" s="36" t="s">
        <v>73</v>
      </c>
      <c r="N14" s="37"/>
    </row>
    <row r="15" spans="1:14" ht="18" customHeight="1" x14ac:dyDescent="0.2">
      <c r="B15" s="6"/>
      <c r="C15" s="53"/>
      <c r="D15" s="54"/>
      <c r="E15" s="53"/>
      <c r="F15" s="54"/>
      <c r="G15" s="53"/>
      <c r="H15" s="54"/>
      <c r="I15" s="55"/>
      <c r="J15" s="56"/>
      <c r="K15" s="13"/>
      <c r="L15" s="19"/>
      <c r="M15" s="38"/>
      <c r="N15" s="39"/>
    </row>
    <row r="16" spans="1:14" ht="18" customHeight="1" x14ac:dyDescent="0.2">
      <c r="B16" s="8"/>
      <c r="C16" s="51"/>
      <c r="D16" s="57"/>
      <c r="E16" s="51"/>
      <c r="F16" s="57"/>
      <c r="G16" s="51"/>
      <c r="H16" s="57"/>
      <c r="I16" s="58"/>
      <c r="J16" s="59"/>
      <c r="K16" s="44" t="s">
        <v>13</v>
      </c>
      <c r="L16" s="16">
        <v>2</v>
      </c>
      <c r="M16" s="40" t="s">
        <v>74</v>
      </c>
      <c r="N16" s="41"/>
    </row>
    <row r="17" spans="2:14" ht="18" customHeight="1" x14ac:dyDescent="0.2">
      <c r="B17" s="6"/>
      <c r="C17" s="53"/>
      <c r="D17" s="54"/>
      <c r="E17" s="53"/>
      <c r="F17" s="54"/>
      <c r="G17" s="53"/>
      <c r="H17" s="54"/>
      <c r="I17" s="55"/>
      <c r="J17" s="56"/>
      <c r="K17" s="45"/>
      <c r="L17" s="17">
        <v>9</v>
      </c>
      <c r="M17" s="36" t="s">
        <v>75</v>
      </c>
      <c r="N17" s="37"/>
    </row>
    <row r="18" spans="2:14" ht="18" customHeight="1" x14ac:dyDescent="0.2">
      <c r="B18" s="9"/>
      <c r="C18" s="67"/>
      <c r="D18" s="68"/>
      <c r="E18" s="67"/>
      <c r="F18" s="68"/>
      <c r="G18" s="67"/>
      <c r="H18" s="68"/>
      <c r="I18" s="67"/>
      <c r="J18" s="69"/>
      <c r="K18" s="45"/>
      <c r="L18" s="17">
        <v>16</v>
      </c>
      <c r="M18" s="36" t="s">
        <v>76</v>
      </c>
      <c r="N18" s="37"/>
    </row>
    <row r="19" spans="2:14" ht="18" customHeight="1" x14ac:dyDescent="0.2">
      <c r="B19" s="6"/>
      <c r="C19" s="53"/>
      <c r="D19" s="54"/>
      <c r="E19" s="53"/>
      <c r="F19" s="54"/>
      <c r="G19" s="53"/>
      <c r="H19" s="54"/>
      <c r="I19" s="55"/>
      <c r="J19" s="56"/>
      <c r="K19" s="11"/>
      <c r="L19" s="17">
        <v>23</v>
      </c>
      <c r="M19" s="36" t="s">
        <v>77</v>
      </c>
      <c r="N19" s="37"/>
    </row>
    <row r="20" spans="2:14" ht="18" customHeight="1" x14ac:dyDescent="0.2">
      <c r="B20" s="8"/>
      <c r="C20" s="51"/>
      <c r="D20" s="57"/>
      <c r="E20" s="51"/>
      <c r="F20" s="57"/>
      <c r="G20" s="51"/>
      <c r="H20" s="57"/>
      <c r="I20" s="51"/>
      <c r="J20" s="52"/>
      <c r="K20" s="11"/>
      <c r="L20" s="17">
        <v>30</v>
      </c>
      <c r="M20" s="36" t="s">
        <v>78</v>
      </c>
      <c r="N20" s="37"/>
    </row>
    <row r="21" spans="2:14" ht="18" customHeight="1" x14ac:dyDescent="0.2">
      <c r="B21" s="6"/>
      <c r="C21" s="53"/>
      <c r="D21" s="54"/>
      <c r="E21" s="53"/>
      <c r="F21" s="54"/>
      <c r="G21" s="53"/>
      <c r="H21" s="54"/>
      <c r="I21" s="72"/>
      <c r="J21" s="73"/>
      <c r="K21" s="13"/>
      <c r="L21" s="19"/>
      <c r="M21" s="38"/>
      <c r="N21" s="39"/>
    </row>
    <row r="22" spans="2:14" ht="18" customHeight="1" x14ac:dyDescent="0.2">
      <c r="B22" s="8"/>
      <c r="C22" s="51"/>
      <c r="D22" s="57"/>
      <c r="E22" s="51"/>
      <c r="F22" s="57"/>
      <c r="G22" s="51"/>
      <c r="H22" s="57"/>
      <c r="I22" s="51"/>
      <c r="J22" s="52"/>
      <c r="K22" s="44" t="s">
        <v>14</v>
      </c>
      <c r="L22" s="16">
        <v>3</v>
      </c>
      <c r="M22" s="40" t="s">
        <v>79</v>
      </c>
      <c r="N22" s="41"/>
    </row>
    <row r="23" spans="2:14" ht="18" customHeight="1" x14ac:dyDescent="0.2">
      <c r="B23" s="6"/>
      <c r="C23" s="53"/>
      <c r="D23" s="54"/>
      <c r="E23" s="53"/>
      <c r="F23" s="54"/>
      <c r="G23" s="53"/>
      <c r="H23" s="54"/>
      <c r="I23" s="55"/>
      <c r="J23" s="56"/>
      <c r="K23" s="45"/>
      <c r="L23" s="17">
        <v>10</v>
      </c>
      <c r="M23" s="36" t="s">
        <v>80</v>
      </c>
      <c r="N23" s="37"/>
    </row>
    <row r="24" spans="2:14" ht="18" customHeight="1" x14ac:dyDescent="0.2">
      <c r="B24" s="8"/>
      <c r="C24" s="51"/>
      <c r="D24" s="57"/>
      <c r="E24" s="51"/>
      <c r="F24" s="57"/>
      <c r="G24" s="51"/>
      <c r="H24" s="57"/>
      <c r="I24" s="51"/>
      <c r="J24" s="52"/>
      <c r="K24" s="45"/>
      <c r="L24" s="17">
        <v>17</v>
      </c>
      <c r="M24" s="36" t="s">
        <v>81</v>
      </c>
      <c r="N24" s="37"/>
    </row>
    <row r="25" spans="2:14" ht="18" customHeight="1" x14ac:dyDescent="0.2">
      <c r="B25" s="6"/>
      <c r="C25" s="53"/>
      <c r="D25" s="54"/>
      <c r="E25" s="53"/>
      <c r="F25" s="54"/>
      <c r="G25" s="53"/>
      <c r="H25" s="54"/>
      <c r="I25" s="55"/>
      <c r="J25" s="56"/>
      <c r="K25" s="45"/>
      <c r="L25" s="17">
        <v>24</v>
      </c>
      <c r="M25" s="36" t="s">
        <v>82</v>
      </c>
      <c r="N25" s="37"/>
    </row>
    <row r="26" spans="2:14" ht="18" customHeight="1" x14ac:dyDescent="0.2">
      <c r="B26" s="8"/>
      <c r="C26" s="51"/>
      <c r="D26" s="57"/>
      <c r="E26" s="51"/>
      <c r="F26" s="57"/>
      <c r="G26" s="51"/>
      <c r="H26" s="57"/>
      <c r="I26" s="51"/>
      <c r="J26" s="52"/>
      <c r="K26" s="11"/>
      <c r="L26" s="17">
        <v>31</v>
      </c>
      <c r="M26" s="36" t="s">
        <v>83</v>
      </c>
      <c r="N26" s="37"/>
    </row>
    <row r="27" spans="2:14" ht="18" customHeight="1" x14ac:dyDescent="0.2">
      <c r="B27" s="6"/>
      <c r="C27" s="53"/>
      <c r="D27" s="54"/>
      <c r="E27" s="53"/>
      <c r="F27" s="54"/>
      <c r="G27" s="53"/>
      <c r="H27" s="54"/>
      <c r="I27" s="55"/>
      <c r="J27" s="56"/>
      <c r="K27" s="13"/>
      <c r="L27" s="19"/>
      <c r="M27" s="38"/>
      <c r="N27" s="39"/>
    </row>
    <row r="28" spans="2:14" ht="18" customHeight="1" x14ac:dyDescent="0.2">
      <c r="B28" s="8"/>
      <c r="C28" s="51"/>
      <c r="D28" s="57"/>
      <c r="E28" s="51"/>
      <c r="F28" s="57"/>
      <c r="G28" s="51"/>
      <c r="H28" s="57"/>
      <c r="I28" s="51"/>
      <c r="J28" s="52"/>
      <c r="K28" s="46" t="s">
        <v>15</v>
      </c>
      <c r="L28" s="16">
        <v>4</v>
      </c>
      <c r="M28" s="40" t="s">
        <v>84</v>
      </c>
      <c r="N28" s="41"/>
    </row>
    <row r="29" spans="2:14" ht="18" customHeight="1" x14ac:dyDescent="0.2">
      <c r="B29" s="6"/>
      <c r="C29" s="53"/>
      <c r="D29" s="54"/>
      <c r="E29" s="53"/>
      <c r="F29" s="54"/>
      <c r="G29" s="53"/>
      <c r="H29" s="54"/>
      <c r="I29" s="53"/>
      <c r="J29" s="74"/>
      <c r="K29" s="47"/>
      <c r="L29" s="17">
        <v>11</v>
      </c>
      <c r="M29" s="36" t="s">
        <v>85</v>
      </c>
      <c r="N29" s="37"/>
    </row>
    <row r="30" spans="2:14" ht="18" customHeight="1" x14ac:dyDescent="0.2">
      <c r="B30" s="8"/>
      <c r="C30" s="51"/>
      <c r="D30" s="57"/>
      <c r="E30" s="51"/>
      <c r="F30" s="57"/>
      <c r="G30" s="51"/>
      <c r="H30" s="57"/>
      <c r="I30" s="85"/>
      <c r="J30" s="86"/>
      <c r="K30" s="47"/>
      <c r="L30" s="17">
        <v>18</v>
      </c>
      <c r="M30" s="36" t="s">
        <v>86</v>
      </c>
      <c r="N30" s="37"/>
    </row>
    <row r="31" spans="2:14" ht="18" customHeight="1" x14ac:dyDescent="0.2">
      <c r="B31" s="6"/>
      <c r="C31" s="53"/>
      <c r="D31" s="54"/>
      <c r="E31" s="53"/>
      <c r="F31" s="54"/>
      <c r="G31" s="53"/>
      <c r="H31" s="54"/>
      <c r="I31" s="53"/>
      <c r="J31" s="74"/>
      <c r="K31" s="14"/>
      <c r="L31" s="17">
        <v>25</v>
      </c>
      <c r="M31" s="36" t="s">
        <v>87</v>
      </c>
      <c r="N31" s="37"/>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95">
    <mergeCell ref="B2:B10"/>
    <mergeCell ref="B11:J12"/>
    <mergeCell ref="M32:N32"/>
    <mergeCell ref="M33:N33"/>
    <mergeCell ref="G30:H30"/>
    <mergeCell ref="G31:H31"/>
    <mergeCell ref="G32:H32"/>
    <mergeCell ref="G33:H33"/>
    <mergeCell ref="I30:J30"/>
    <mergeCell ref="I31:J31"/>
    <mergeCell ref="I32:J32"/>
    <mergeCell ref="I33:J33"/>
    <mergeCell ref="I25:J25"/>
    <mergeCell ref="I26:J26"/>
    <mergeCell ref="I27:J27"/>
    <mergeCell ref="I28:J28"/>
    <mergeCell ref="I29:J29"/>
    <mergeCell ref="G25:H25"/>
    <mergeCell ref="G26:H26"/>
    <mergeCell ref="G27:H27"/>
    <mergeCell ref="G28:H28"/>
    <mergeCell ref="G29:H29"/>
    <mergeCell ref="G20:H20"/>
    <mergeCell ref="G21:H21"/>
    <mergeCell ref="I19:J19"/>
    <mergeCell ref="I20:J20"/>
    <mergeCell ref="I21:J21"/>
    <mergeCell ref="E23:F23"/>
    <mergeCell ref="E22:F22"/>
    <mergeCell ref="E21:F21"/>
    <mergeCell ref="E20:F20"/>
    <mergeCell ref="E19:F19"/>
    <mergeCell ref="E33:F33"/>
    <mergeCell ref="E32:F32"/>
    <mergeCell ref="E31:F31"/>
    <mergeCell ref="E30:F30"/>
    <mergeCell ref="E29:F29"/>
    <mergeCell ref="E28:F28"/>
    <mergeCell ref="E27:F27"/>
    <mergeCell ref="E26:F26"/>
    <mergeCell ref="E25:F25"/>
    <mergeCell ref="E24:F24"/>
    <mergeCell ref="C24:D24"/>
    <mergeCell ref="C25:D25"/>
    <mergeCell ref="C26:D26"/>
    <mergeCell ref="C27:D27"/>
    <mergeCell ref="C28:D28"/>
    <mergeCell ref="C29:D29"/>
    <mergeCell ref="C30:D30"/>
    <mergeCell ref="C31:D31"/>
    <mergeCell ref="C32:D32"/>
    <mergeCell ref="C33:D33"/>
    <mergeCell ref="C23:D23"/>
    <mergeCell ref="C14:D14"/>
    <mergeCell ref="C15:D15"/>
    <mergeCell ref="C16:D16"/>
    <mergeCell ref="C17:D17"/>
    <mergeCell ref="C18:D18"/>
    <mergeCell ref="N2:N3"/>
    <mergeCell ref="C19:D19"/>
    <mergeCell ref="C20:D20"/>
    <mergeCell ref="C21:D21"/>
    <mergeCell ref="C22:D22"/>
    <mergeCell ref="E18:F18"/>
    <mergeCell ref="E17:F17"/>
    <mergeCell ref="E16:F16"/>
    <mergeCell ref="E15:F15"/>
    <mergeCell ref="E14:F14"/>
    <mergeCell ref="G17:H17"/>
    <mergeCell ref="I17:J17"/>
    <mergeCell ref="G18:H18"/>
    <mergeCell ref="I18:J18"/>
    <mergeCell ref="G19:H19"/>
    <mergeCell ref="G14:H14"/>
    <mergeCell ref="E13:F13"/>
    <mergeCell ref="C13:D13"/>
    <mergeCell ref="K2:M3"/>
    <mergeCell ref="K10:K12"/>
    <mergeCell ref="K4:K6"/>
    <mergeCell ref="K16:K18"/>
    <mergeCell ref="K22:K25"/>
    <mergeCell ref="K28:K30"/>
    <mergeCell ref="I13:J13"/>
    <mergeCell ref="G13:H13"/>
    <mergeCell ref="I14:J14"/>
    <mergeCell ref="G15:H15"/>
    <mergeCell ref="I15:J15"/>
    <mergeCell ref="G16:H16"/>
    <mergeCell ref="I16:J16"/>
    <mergeCell ref="I22:J22"/>
    <mergeCell ref="I23:J23"/>
    <mergeCell ref="G22:H22"/>
    <mergeCell ref="G23:H23"/>
    <mergeCell ref="G24:H24"/>
    <mergeCell ref="I24:J24"/>
  </mergeCells>
  <phoneticPr fontId="2" type="noConversion"/>
  <conditionalFormatting sqref="C4:H4">
    <cfRule type="expression" dxfId="47" priority="4" stopIfTrue="1">
      <formula>DAY(C4)&gt;8</formula>
    </cfRule>
  </conditionalFormatting>
  <conditionalFormatting sqref="C8:I10">
    <cfRule type="expression" dxfId="46" priority="3" stopIfTrue="1">
      <formula>AND(DAY(C8)&gt;=1,DAY(C8)&lt;=15)</formula>
    </cfRule>
  </conditionalFormatting>
  <conditionalFormatting sqref="C4:I9">
    <cfRule type="expression" dxfId="45" priority="15">
      <formula>VLOOKUP(DAY(C4),DíasDeTareas,1,FALSE)=DAY(C4)</formula>
    </cfRule>
  </conditionalFormatting>
  <conditionalFormatting sqref="B14:J33">
    <cfRule type="expression" dxfId="44" priority="1">
      <formula>B14&lt;&gt;""</formula>
    </cfRule>
  </conditionalFormatting>
  <dataValidations count="1">
    <dataValidation allowBlank="1" showInputMessage="1" showErrorMessage="1" errorTitle="Invalid Year" error="Enter a year from 1900 to 9999, or use the scroll bar to find a year." sqref="N2"/>
  </dataValidations>
  <printOptions horizontalCentered="1"/>
  <pageMargins left="0.5" right="0.5" top="0.5" bottom="0.5" header="0.3" footer="0.3"/>
  <pageSetup scale="6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Spinner 1">
              <controlPr defaultSize="0" print="0" autoPict="0" altText="Spinner control. Use spinner to change calendar year or type desired year in cell L2 ">
                <anchor moveWithCells="1">
                  <from>
                    <xdr:col>14</xdr:col>
                    <xdr:colOff>28575</xdr:colOff>
                    <xdr:row>1</xdr:row>
                    <xdr:rowOff>85725</xdr:rowOff>
                  </from>
                  <to>
                    <xdr:col>15</xdr:col>
                    <xdr:colOff>0</xdr:colOff>
                    <xdr:row>2</xdr:row>
                    <xdr:rowOff>161925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21" sqref="M21:N2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18</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IF(DAY(SepDom1)=1,SepDom1-6,SepDom1+1)</f>
        <v>43703</v>
      </c>
      <c r="D4" s="10">
        <f>IF(DAY(SepDom1)=1,SepDom1-5,SepDom1+2)</f>
        <v>43704</v>
      </c>
      <c r="E4" s="10">
        <f>IF(DAY(SepDom1)=1,SepDom1-4,SepDom1+3)</f>
        <v>43705</v>
      </c>
      <c r="F4" s="10">
        <f>IF(DAY(SepDom1)=1,SepDom1-3,SepDom1+4)</f>
        <v>43706</v>
      </c>
      <c r="G4" s="10">
        <f>IF(DAY(SepDom1)=1,SepDom1-2,SepDom1+5)</f>
        <v>43707</v>
      </c>
      <c r="H4" s="10">
        <f>IF(DAY(SepDom1)=1,SepDom1-1,SepDom1+6)</f>
        <v>43708</v>
      </c>
      <c r="I4" s="10">
        <f>IF(DAY(SepDom1)=1,SepDom1,SepDom1+7)</f>
        <v>43709</v>
      </c>
      <c r="J4" s="5"/>
      <c r="K4" s="96" t="s">
        <v>11</v>
      </c>
      <c r="L4" s="16"/>
      <c r="M4" s="109"/>
      <c r="N4" s="110"/>
    </row>
    <row r="5" spans="1:14" ht="18" customHeight="1" x14ac:dyDescent="0.2">
      <c r="A5" s="4"/>
      <c r="B5" s="90"/>
      <c r="C5" s="10">
        <f>IF(DAY(SepDom1)=1,SepDom1+1,SepDom1+8)</f>
        <v>43710</v>
      </c>
      <c r="D5" s="10">
        <f>IF(DAY(SepDom1)=1,SepDom1+2,SepDom1+9)</f>
        <v>43711</v>
      </c>
      <c r="E5" s="10">
        <f>IF(DAY(SepDom1)=1,SepDom1+3,SepDom1+10)</f>
        <v>43712</v>
      </c>
      <c r="F5" s="10">
        <f>IF(DAY(SepDom1)=1,SepDom1+4,SepDom1+11)</f>
        <v>43713</v>
      </c>
      <c r="G5" s="10">
        <f>IF(DAY(SepDom1)=1,SepDom1+5,SepDom1+12)</f>
        <v>43714</v>
      </c>
      <c r="H5" s="10">
        <f>IF(DAY(SepDom1)=1,SepDom1+6,SepDom1+13)</f>
        <v>43715</v>
      </c>
      <c r="I5" s="10">
        <f>IF(DAY(SepDom1)=1,SepDom1+7,SepDom1+14)</f>
        <v>43716</v>
      </c>
      <c r="J5" s="5"/>
      <c r="K5" s="97"/>
      <c r="L5" s="17"/>
      <c r="M5" s="81"/>
      <c r="N5" s="82"/>
    </row>
    <row r="6" spans="1:14" ht="18" customHeight="1" x14ac:dyDescent="0.2">
      <c r="A6" s="4"/>
      <c r="B6" s="90"/>
      <c r="C6" s="10">
        <f>IF(DAY(SepDom1)=1,SepDom1+8,SepDom1+15)</f>
        <v>43717</v>
      </c>
      <c r="D6" s="10">
        <f>IF(DAY(SepDom1)=1,SepDom1+9,SepDom1+16)</f>
        <v>43718</v>
      </c>
      <c r="E6" s="10">
        <f>IF(DAY(SepDom1)=1,SepDom1+10,SepDom1+17)</f>
        <v>43719</v>
      </c>
      <c r="F6" s="10">
        <f>IF(DAY(SepDom1)=1,SepDom1+11,SepDom1+18)</f>
        <v>43720</v>
      </c>
      <c r="G6" s="10">
        <f>IF(DAY(SepDom1)=1,SepDom1+12,SepDom1+19)</f>
        <v>43721</v>
      </c>
      <c r="H6" s="10">
        <f>IF(DAY(SepDom1)=1,SepDom1+13,SepDom1+20)</f>
        <v>43722</v>
      </c>
      <c r="I6" s="10">
        <f>IF(DAY(SepDom1)=1,SepDom1+14,SepDom1+21)</f>
        <v>43723</v>
      </c>
      <c r="J6" s="5"/>
      <c r="K6" s="97"/>
      <c r="L6" s="17"/>
      <c r="M6" s="81"/>
      <c r="N6" s="82"/>
    </row>
    <row r="7" spans="1:14" ht="18" customHeight="1" x14ac:dyDescent="0.2">
      <c r="A7" s="4"/>
      <c r="B7" s="90"/>
      <c r="C7" s="10">
        <f>IF(DAY(SepDom1)=1,SepDom1+15,SepDom1+22)</f>
        <v>43724</v>
      </c>
      <c r="D7" s="10">
        <f>IF(DAY(SepDom1)=1,SepDom1+16,SepDom1+23)</f>
        <v>43725</v>
      </c>
      <c r="E7" s="10">
        <f>IF(DAY(SepDom1)=1,SepDom1+17,SepDom1+24)</f>
        <v>43726</v>
      </c>
      <c r="F7" s="10">
        <f>IF(DAY(SepDom1)=1,SepDom1+18,SepDom1+25)</f>
        <v>43727</v>
      </c>
      <c r="G7" s="10">
        <f>IF(DAY(SepDom1)=1,SepDom1+19,SepDom1+26)</f>
        <v>43728</v>
      </c>
      <c r="H7" s="10">
        <f>IF(DAY(SepDom1)=1,SepDom1+20,SepDom1+27)</f>
        <v>43729</v>
      </c>
      <c r="I7" s="10">
        <f>IF(DAY(SepDom1)=1,SepDom1+21,SepDom1+28)</f>
        <v>43730</v>
      </c>
      <c r="J7" s="5"/>
      <c r="K7" s="11"/>
      <c r="L7" s="17"/>
      <c r="M7" s="81"/>
      <c r="N7" s="82"/>
    </row>
    <row r="8" spans="1:14" ht="18.75" customHeight="1" x14ac:dyDescent="0.2">
      <c r="A8" s="4"/>
      <c r="B8" s="90"/>
      <c r="C8" s="10">
        <f>IF(DAY(SepDom1)=1,SepDom1+22,SepDom1+29)</f>
        <v>43731</v>
      </c>
      <c r="D8" s="10">
        <f>IF(DAY(SepDom1)=1,SepDom1+23,SepDom1+30)</f>
        <v>43732</v>
      </c>
      <c r="E8" s="10">
        <f>IF(DAY(SepDom1)=1,SepDom1+24,SepDom1+31)</f>
        <v>43733</v>
      </c>
      <c r="F8" s="10">
        <f>IF(DAY(SepDom1)=1,SepDom1+25,SepDom1+32)</f>
        <v>43734</v>
      </c>
      <c r="G8" s="10">
        <f>IF(DAY(SepDom1)=1,SepDom1+26,SepDom1+33)</f>
        <v>43735</v>
      </c>
      <c r="H8" s="10">
        <f>IF(DAY(SepDom1)=1,SepDom1+27,SepDom1+34)</f>
        <v>43736</v>
      </c>
      <c r="I8" s="10">
        <f>IF(DAY(SepDom1)=1,SepDom1+28,SepDom1+35)</f>
        <v>43737</v>
      </c>
      <c r="J8" s="5"/>
      <c r="K8" s="11"/>
      <c r="L8" s="17"/>
      <c r="M8" s="81"/>
      <c r="N8" s="82"/>
    </row>
    <row r="9" spans="1:14" ht="18" customHeight="1" x14ac:dyDescent="0.2">
      <c r="A9" s="4"/>
      <c r="B9" s="90"/>
      <c r="C9" s="10">
        <f>IF(DAY(SepDom1)=1,SepDom1+29,SepDom1+36)</f>
        <v>43738</v>
      </c>
      <c r="D9" s="10">
        <f>IF(DAY(SepDom1)=1,SepDom1+30,SepDom1+37)</f>
        <v>43739</v>
      </c>
      <c r="E9" s="10">
        <f>IF(DAY(SepDom1)=1,SepDom1+31,SepDom1+38)</f>
        <v>43740</v>
      </c>
      <c r="F9" s="10">
        <f>IF(DAY(SepDom1)=1,SepDom1+32,SepDom1+39)</f>
        <v>43741</v>
      </c>
      <c r="G9" s="10">
        <f>IF(DAY(SepDom1)=1,SepDom1+33,SepDom1+40)</f>
        <v>43742</v>
      </c>
      <c r="H9" s="10">
        <f>IF(DAY(SepDom1)=1,SepDom1+34,SepDom1+41)</f>
        <v>43743</v>
      </c>
      <c r="I9" s="10">
        <f>IF(DAY(SepDom1)=1,SepDom1+35,SepDom1+42)</f>
        <v>43744</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15" priority="3" stopIfTrue="1">
      <formula>DAY(C4)&gt;8</formula>
    </cfRule>
  </conditionalFormatting>
  <conditionalFormatting sqref="C8:I10">
    <cfRule type="expression" dxfId="14" priority="2" stopIfTrue="1">
      <formula>AND(DAY(C8)&gt;=1,DAY(C8)&lt;=15)</formula>
    </cfRule>
  </conditionalFormatting>
  <conditionalFormatting sqref="C4:I9">
    <cfRule type="expression" dxfId="13" priority="4">
      <formula>VLOOKUP(DAY(C4),DíasDeTareas,1,FALSE)=DAY(C4)</formula>
    </cfRule>
  </conditionalFormatting>
  <conditionalFormatting sqref="B14:J33">
    <cfRule type="expression" dxfId="12" priority="1">
      <formula>B14&lt;&gt;""</formula>
    </cfRule>
  </conditionalFormatting>
  <printOptions horizontalCentered="1"/>
  <pageMargins left="0.5" right="0.5" top="0.5" bottom="0.5" header="0.3" footer="0.3"/>
  <pageSetup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4" sqref="Q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17</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IF(DAY(OctDom1)=1,OctDom1-6,OctDom1+1)</f>
        <v>43738</v>
      </c>
      <c r="D4" s="10">
        <f>IF(DAY(OctDom1)=1,OctDom1-5,OctDom1+2)</f>
        <v>43739</v>
      </c>
      <c r="E4" s="10">
        <f>IF(DAY(OctDom1)=1,OctDom1-4,OctDom1+3)</f>
        <v>43740</v>
      </c>
      <c r="F4" s="10">
        <f>IF(DAY(OctDom1)=1,OctDom1-3,OctDom1+4)</f>
        <v>43741</v>
      </c>
      <c r="G4" s="10">
        <f>IF(DAY(OctDom1)=1,OctDom1-2,OctDom1+5)</f>
        <v>43742</v>
      </c>
      <c r="H4" s="10">
        <f>IF(DAY(OctDom1)=1,OctDom1-1,OctDom1+6)</f>
        <v>43743</v>
      </c>
      <c r="I4" s="10">
        <f>IF(DAY(OctDom1)=1,OctDom1,OctDom1+7)</f>
        <v>43744</v>
      </c>
      <c r="J4" s="5"/>
      <c r="K4" s="96" t="s">
        <v>11</v>
      </c>
      <c r="L4" s="16"/>
      <c r="M4" s="109"/>
      <c r="N4" s="110"/>
    </row>
    <row r="5" spans="1:14" ht="18" customHeight="1" x14ac:dyDescent="0.2">
      <c r="A5" s="4"/>
      <c r="B5" s="90"/>
      <c r="C5" s="10">
        <f>IF(DAY(OctDom1)=1,OctDom1+1,OctDom1+8)</f>
        <v>43745</v>
      </c>
      <c r="D5" s="10">
        <f>IF(DAY(OctDom1)=1,OctDom1+2,OctDom1+9)</f>
        <v>43746</v>
      </c>
      <c r="E5" s="10">
        <f>IF(DAY(OctDom1)=1,OctDom1+3,OctDom1+10)</f>
        <v>43747</v>
      </c>
      <c r="F5" s="10">
        <f>IF(DAY(OctDom1)=1,OctDom1+4,OctDom1+11)</f>
        <v>43748</v>
      </c>
      <c r="G5" s="10">
        <f>IF(DAY(OctDom1)=1,OctDom1+5,OctDom1+12)</f>
        <v>43749</v>
      </c>
      <c r="H5" s="10">
        <f>IF(DAY(OctDom1)=1,OctDom1+6,OctDom1+13)</f>
        <v>43750</v>
      </c>
      <c r="I5" s="10">
        <f>IF(DAY(OctDom1)=1,OctDom1+7,OctDom1+14)</f>
        <v>43751</v>
      </c>
      <c r="J5" s="5"/>
      <c r="K5" s="97"/>
      <c r="L5" s="17"/>
      <c r="M5" s="81"/>
      <c r="N5" s="82"/>
    </row>
    <row r="6" spans="1:14" ht="18" customHeight="1" x14ac:dyDescent="0.2">
      <c r="A6" s="4"/>
      <c r="B6" s="90"/>
      <c r="C6" s="10">
        <f>IF(DAY(OctDom1)=1,OctDom1+8,OctDom1+15)</f>
        <v>43752</v>
      </c>
      <c r="D6" s="10">
        <f>IF(DAY(OctDom1)=1,OctDom1+9,OctDom1+16)</f>
        <v>43753</v>
      </c>
      <c r="E6" s="10">
        <f>IF(DAY(OctDom1)=1,OctDom1+10,OctDom1+17)</f>
        <v>43754</v>
      </c>
      <c r="F6" s="10">
        <f>IF(DAY(OctDom1)=1,OctDom1+11,OctDom1+18)</f>
        <v>43755</v>
      </c>
      <c r="G6" s="10">
        <f>IF(DAY(OctDom1)=1,OctDom1+12,OctDom1+19)</f>
        <v>43756</v>
      </c>
      <c r="H6" s="10">
        <f>IF(DAY(OctDom1)=1,OctDom1+13,OctDom1+20)</f>
        <v>43757</v>
      </c>
      <c r="I6" s="10">
        <f>IF(DAY(OctDom1)=1,OctDom1+14,OctDom1+21)</f>
        <v>43758</v>
      </c>
      <c r="J6" s="5"/>
      <c r="K6" s="97"/>
      <c r="L6" s="17"/>
      <c r="M6" s="81"/>
      <c r="N6" s="82"/>
    </row>
    <row r="7" spans="1:14" ht="18" customHeight="1" x14ac:dyDescent="0.2">
      <c r="A7" s="4"/>
      <c r="B7" s="90"/>
      <c r="C7" s="10">
        <f>IF(DAY(OctDom1)=1,OctDom1+15,OctDom1+22)</f>
        <v>43759</v>
      </c>
      <c r="D7" s="10">
        <f>IF(DAY(OctDom1)=1,OctDom1+16,OctDom1+23)</f>
        <v>43760</v>
      </c>
      <c r="E7" s="10">
        <f>IF(DAY(OctDom1)=1,OctDom1+17,OctDom1+24)</f>
        <v>43761</v>
      </c>
      <c r="F7" s="10">
        <f>IF(DAY(OctDom1)=1,OctDom1+18,OctDom1+25)</f>
        <v>43762</v>
      </c>
      <c r="G7" s="10">
        <f>IF(DAY(OctDom1)=1,OctDom1+19,OctDom1+26)</f>
        <v>43763</v>
      </c>
      <c r="H7" s="10">
        <f>IF(DAY(OctDom1)=1,OctDom1+20,OctDom1+27)</f>
        <v>43764</v>
      </c>
      <c r="I7" s="10">
        <f>IF(DAY(OctDom1)=1,OctDom1+21,OctDom1+28)</f>
        <v>43765</v>
      </c>
      <c r="J7" s="5"/>
      <c r="K7" s="11"/>
      <c r="L7" s="17"/>
      <c r="M7" s="81"/>
      <c r="N7" s="82"/>
    </row>
    <row r="8" spans="1:14" ht="18.75" customHeight="1" x14ac:dyDescent="0.2">
      <c r="A8" s="4"/>
      <c r="B8" s="90"/>
      <c r="C8" s="10">
        <f>IF(DAY(OctDom1)=1,OctDom1+22,OctDom1+29)</f>
        <v>43766</v>
      </c>
      <c r="D8" s="10">
        <f>IF(DAY(OctDom1)=1,OctDom1+23,OctDom1+30)</f>
        <v>43767</v>
      </c>
      <c r="E8" s="10">
        <f>IF(DAY(OctDom1)=1,OctDom1+24,OctDom1+31)</f>
        <v>43768</v>
      </c>
      <c r="F8" s="10">
        <f>IF(DAY(OctDom1)=1,OctDom1+25,OctDom1+32)</f>
        <v>43769</v>
      </c>
      <c r="G8" s="10">
        <f>IF(DAY(OctDom1)=1,OctDom1+26,OctDom1+33)</f>
        <v>43770</v>
      </c>
      <c r="H8" s="10">
        <f>IF(DAY(OctDom1)=1,OctDom1+27,OctDom1+34)</f>
        <v>43771</v>
      </c>
      <c r="I8" s="10">
        <f>IF(DAY(OctDom1)=1,OctDom1+28,OctDom1+35)</f>
        <v>43772</v>
      </c>
      <c r="J8" s="5"/>
      <c r="K8" s="11"/>
      <c r="L8" s="17"/>
      <c r="M8" s="81"/>
      <c r="N8" s="82"/>
    </row>
    <row r="9" spans="1:14" ht="18" customHeight="1" x14ac:dyDescent="0.2">
      <c r="A9" s="4"/>
      <c r="B9" s="90"/>
      <c r="C9" s="10">
        <f>IF(DAY(OctDom1)=1,OctDom1+29,OctDom1+36)</f>
        <v>43773</v>
      </c>
      <c r="D9" s="10">
        <f>IF(DAY(OctDom1)=1,OctDom1+30,OctDom1+37)</f>
        <v>43774</v>
      </c>
      <c r="E9" s="10">
        <f>IF(DAY(OctDom1)=1,OctDom1+31,OctDom1+38)</f>
        <v>43775</v>
      </c>
      <c r="F9" s="10">
        <f>IF(DAY(OctDom1)=1,OctDom1+32,OctDom1+39)</f>
        <v>43776</v>
      </c>
      <c r="G9" s="10">
        <f>IF(DAY(OctDom1)=1,OctDom1+33,OctDom1+40)</f>
        <v>43777</v>
      </c>
      <c r="H9" s="10">
        <f>IF(DAY(OctDom1)=1,OctDom1+34,OctDom1+41)</f>
        <v>43778</v>
      </c>
      <c r="I9" s="10">
        <f>IF(DAY(OctDom1)=1,OctDom1+35,OctDom1+42)</f>
        <v>43779</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11" priority="3" stopIfTrue="1">
      <formula>DAY(C4)&gt;8</formula>
    </cfRule>
  </conditionalFormatting>
  <conditionalFormatting sqref="C8:I10">
    <cfRule type="expression" dxfId="10" priority="2" stopIfTrue="1">
      <formula>AND(DAY(C8)&gt;=1,DAY(C8)&lt;=15)</formula>
    </cfRule>
  </conditionalFormatting>
  <conditionalFormatting sqref="C4:I9">
    <cfRule type="expression" dxfId="9" priority="4">
      <formula>VLOOKUP(DAY(C4),DíasDeTareas,1,FALSE)=DAY(C4)</formula>
    </cfRule>
  </conditionalFormatting>
  <conditionalFormatting sqref="B14:J33">
    <cfRule type="expression" dxfId="8" priority="1">
      <formula>B14&lt;&gt;""</formula>
    </cfRule>
  </conditionalFormatting>
  <printOptions horizontalCentered="1"/>
  <pageMargins left="0.5" right="0.5" top="0.5" bottom="0.5" header="0.3" footer="0.3"/>
  <pageSetup scale="6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16</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IF(DAY(NovDom1)=1,NovDom1-6,NovDom1+1)</f>
        <v>43766</v>
      </c>
      <c r="D4" s="10">
        <f>IF(DAY(NovDom1)=1,NovDom1-5,NovDom1+2)</f>
        <v>43767</v>
      </c>
      <c r="E4" s="10">
        <f>IF(DAY(NovDom1)=1,NovDom1-4,NovDom1+3)</f>
        <v>43768</v>
      </c>
      <c r="F4" s="10">
        <f>IF(DAY(NovDom1)=1,NovDom1-3,NovDom1+4)</f>
        <v>43769</v>
      </c>
      <c r="G4" s="10">
        <f>IF(DAY(NovDom1)=1,NovDom1-2,NovDom1+5)</f>
        <v>43770</v>
      </c>
      <c r="H4" s="10">
        <f>IF(DAY(NovDom1)=1,NovDom1-1,NovDom1+6)</f>
        <v>43771</v>
      </c>
      <c r="I4" s="10">
        <f>IF(DAY(NovDom1)=1,NovDom1,NovDom1+7)</f>
        <v>43772</v>
      </c>
      <c r="J4" s="5"/>
      <c r="K4" s="96" t="s">
        <v>11</v>
      </c>
      <c r="L4" s="16"/>
      <c r="M4" s="109"/>
      <c r="N4" s="110"/>
    </row>
    <row r="5" spans="1:14" ht="18" customHeight="1" x14ac:dyDescent="0.2">
      <c r="A5" s="4"/>
      <c r="B5" s="90"/>
      <c r="C5" s="10">
        <f>IF(DAY(NovDom1)=1,NovDom1+1,NovDom1+8)</f>
        <v>43773</v>
      </c>
      <c r="D5" s="10">
        <f>IF(DAY(NovDom1)=1,NovDom1+2,NovDom1+9)</f>
        <v>43774</v>
      </c>
      <c r="E5" s="10">
        <f>IF(DAY(NovDom1)=1,NovDom1+3,NovDom1+10)</f>
        <v>43775</v>
      </c>
      <c r="F5" s="10">
        <f>IF(DAY(NovDom1)=1,NovDom1+4,NovDom1+11)</f>
        <v>43776</v>
      </c>
      <c r="G5" s="10">
        <f>IF(DAY(NovDom1)=1,NovDom1+5,NovDom1+12)</f>
        <v>43777</v>
      </c>
      <c r="H5" s="10">
        <f>IF(DAY(NovDom1)=1,NovDom1+6,NovDom1+13)</f>
        <v>43778</v>
      </c>
      <c r="I5" s="10">
        <f>IF(DAY(NovDom1)=1,NovDom1+7,NovDom1+14)</f>
        <v>43779</v>
      </c>
      <c r="J5" s="5"/>
      <c r="K5" s="97"/>
      <c r="L5" s="17"/>
      <c r="M5" s="81"/>
      <c r="N5" s="82"/>
    </row>
    <row r="6" spans="1:14" ht="18" customHeight="1" x14ac:dyDescent="0.2">
      <c r="A6" s="4"/>
      <c r="B6" s="90"/>
      <c r="C6" s="10">
        <f>IF(DAY(NovDom1)=1,NovDom1+8,NovDom1+15)</f>
        <v>43780</v>
      </c>
      <c r="D6" s="10">
        <f>IF(DAY(NovDom1)=1,NovDom1+9,NovDom1+16)</f>
        <v>43781</v>
      </c>
      <c r="E6" s="10">
        <f>IF(DAY(NovDom1)=1,NovDom1+10,NovDom1+17)</f>
        <v>43782</v>
      </c>
      <c r="F6" s="10">
        <f>IF(DAY(NovDom1)=1,NovDom1+11,NovDom1+18)</f>
        <v>43783</v>
      </c>
      <c r="G6" s="10">
        <f>IF(DAY(NovDom1)=1,NovDom1+12,NovDom1+19)</f>
        <v>43784</v>
      </c>
      <c r="H6" s="10">
        <f>IF(DAY(NovDom1)=1,NovDom1+13,NovDom1+20)</f>
        <v>43785</v>
      </c>
      <c r="I6" s="10">
        <f>IF(DAY(NovDom1)=1,NovDom1+14,NovDom1+21)</f>
        <v>43786</v>
      </c>
      <c r="J6" s="5"/>
      <c r="K6" s="97"/>
      <c r="L6" s="17"/>
      <c r="M6" s="81"/>
      <c r="N6" s="82"/>
    </row>
    <row r="7" spans="1:14" ht="18" customHeight="1" x14ac:dyDescent="0.2">
      <c r="A7" s="4"/>
      <c r="B7" s="90"/>
      <c r="C7" s="10">
        <f>IF(DAY(NovDom1)=1,NovDom1+15,NovDom1+22)</f>
        <v>43787</v>
      </c>
      <c r="D7" s="10">
        <f>IF(DAY(NovDom1)=1,NovDom1+16,NovDom1+23)</f>
        <v>43788</v>
      </c>
      <c r="E7" s="10">
        <f>IF(DAY(NovDom1)=1,NovDom1+17,NovDom1+24)</f>
        <v>43789</v>
      </c>
      <c r="F7" s="10">
        <f>IF(DAY(NovDom1)=1,NovDom1+18,NovDom1+25)</f>
        <v>43790</v>
      </c>
      <c r="G7" s="10">
        <f>IF(DAY(NovDom1)=1,NovDom1+19,NovDom1+26)</f>
        <v>43791</v>
      </c>
      <c r="H7" s="10">
        <f>IF(DAY(NovDom1)=1,NovDom1+20,NovDom1+27)</f>
        <v>43792</v>
      </c>
      <c r="I7" s="10">
        <f>IF(DAY(NovDom1)=1,NovDom1+21,NovDom1+28)</f>
        <v>43793</v>
      </c>
      <c r="J7" s="5"/>
      <c r="K7" s="11"/>
      <c r="L7" s="17"/>
      <c r="M7" s="81"/>
      <c r="N7" s="82"/>
    </row>
    <row r="8" spans="1:14" ht="18.75" customHeight="1" x14ac:dyDescent="0.2">
      <c r="A8" s="4"/>
      <c r="B8" s="90"/>
      <c r="C8" s="10">
        <f>IF(DAY(NovDom1)=1,NovDom1+22,NovDom1+29)</f>
        <v>43794</v>
      </c>
      <c r="D8" s="10">
        <f>IF(DAY(NovDom1)=1,NovDom1+23,NovDom1+30)</f>
        <v>43795</v>
      </c>
      <c r="E8" s="10">
        <f>IF(DAY(NovDom1)=1,NovDom1+24,NovDom1+31)</f>
        <v>43796</v>
      </c>
      <c r="F8" s="10">
        <f>IF(DAY(NovDom1)=1,NovDom1+25,NovDom1+32)</f>
        <v>43797</v>
      </c>
      <c r="G8" s="10">
        <f>IF(DAY(NovDom1)=1,NovDom1+26,NovDom1+33)</f>
        <v>43798</v>
      </c>
      <c r="H8" s="10">
        <f>IF(DAY(NovDom1)=1,NovDom1+27,NovDom1+34)</f>
        <v>43799</v>
      </c>
      <c r="I8" s="10">
        <f>IF(DAY(NovDom1)=1,NovDom1+28,NovDom1+35)</f>
        <v>43800</v>
      </c>
      <c r="J8" s="5"/>
      <c r="K8" s="11"/>
      <c r="L8" s="17"/>
      <c r="M8" s="81"/>
      <c r="N8" s="82"/>
    </row>
    <row r="9" spans="1:14" ht="18" customHeight="1" x14ac:dyDescent="0.2">
      <c r="A9" s="4"/>
      <c r="B9" s="90"/>
      <c r="C9" s="10">
        <f>IF(DAY(NovDom1)=1,NovDom1+29,NovDom1+36)</f>
        <v>43801</v>
      </c>
      <c r="D9" s="10">
        <f>IF(DAY(NovDom1)=1,NovDom1+30,NovDom1+37)</f>
        <v>43802</v>
      </c>
      <c r="E9" s="10">
        <f>IF(DAY(NovDom1)=1,NovDom1+31,NovDom1+38)</f>
        <v>43803</v>
      </c>
      <c r="F9" s="10">
        <f>IF(DAY(NovDom1)=1,NovDom1+32,NovDom1+39)</f>
        <v>43804</v>
      </c>
      <c r="G9" s="10">
        <f>IF(DAY(NovDom1)=1,NovDom1+33,NovDom1+40)</f>
        <v>43805</v>
      </c>
      <c r="H9" s="10">
        <f>IF(DAY(NovDom1)=1,NovDom1+34,NovDom1+41)</f>
        <v>43806</v>
      </c>
      <c r="I9" s="10">
        <f>IF(DAY(NovDom1)=1,NovDom1+35,NovDom1+42)</f>
        <v>43807</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7" priority="3" stopIfTrue="1">
      <formula>DAY(C4)&gt;8</formula>
    </cfRule>
  </conditionalFormatting>
  <conditionalFormatting sqref="C8:I10">
    <cfRule type="expression" dxfId="6" priority="2" stopIfTrue="1">
      <formula>AND(DAY(C8)&gt;=1,DAY(C8)&lt;=15)</formula>
    </cfRule>
  </conditionalFormatting>
  <conditionalFormatting sqref="C4:I9">
    <cfRule type="expression" dxfId="5" priority="4">
      <formula>VLOOKUP(DAY(C4),DíasDeTareas,1,FALSE)=DAY(C4)</formula>
    </cfRule>
  </conditionalFormatting>
  <conditionalFormatting sqref="B14:J33">
    <cfRule type="expression" dxfId="4" priority="1">
      <formula>B14&lt;&gt;""</formula>
    </cfRule>
  </conditionalFormatting>
  <printOptions horizontalCentered="1"/>
  <pageMargins left="0.5" right="0.5" top="0.5" bottom="0.5" header="0.3" footer="0.3"/>
  <pageSetup scale="6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9</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IF(DAY(DicDom1)=1,DicDom1-6,DicDom1+1)</f>
        <v>43794</v>
      </c>
      <c r="D4" s="10">
        <f>IF(DAY(DicDom1)=1,DicDom1-5,DicDom1+2)</f>
        <v>43795</v>
      </c>
      <c r="E4" s="10">
        <f>IF(DAY(DicDom1)=1,DicDom1-4,DicDom1+3)</f>
        <v>43796</v>
      </c>
      <c r="F4" s="10">
        <f>IF(DAY(DicDom1)=1,DicDom1-3,DicDom1+4)</f>
        <v>43797</v>
      </c>
      <c r="G4" s="10">
        <f>IF(DAY(DicDom1)=1,DicDom1-2,DicDom1+5)</f>
        <v>43798</v>
      </c>
      <c r="H4" s="10">
        <f>IF(DAY(DicDom1)=1,DicDom1-1,DicDom1+6)</f>
        <v>43799</v>
      </c>
      <c r="I4" s="10">
        <f>IF(DAY(DicDom1)=1,DicDom1,DicDom1+7)</f>
        <v>43800</v>
      </c>
      <c r="J4" s="5"/>
      <c r="K4" s="96" t="s">
        <v>11</v>
      </c>
      <c r="L4" s="16"/>
      <c r="M4" s="109"/>
      <c r="N4" s="110"/>
    </row>
    <row r="5" spans="1:14" ht="18" customHeight="1" x14ac:dyDescent="0.2">
      <c r="A5" s="4"/>
      <c r="B5" s="90"/>
      <c r="C5" s="10">
        <f>IF(DAY(DicDom1)=1,DicDom1+1,DicDom1+8)</f>
        <v>43801</v>
      </c>
      <c r="D5" s="10">
        <f>IF(DAY(DicDom1)=1,DicDom1+2,DicDom1+9)</f>
        <v>43802</v>
      </c>
      <c r="E5" s="10">
        <f>IF(DAY(DicDom1)=1,DicDom1+3,DicDom1+10)</f>
        <v>43803</v>
      </c>
      <c r="F5" s="10">
        <f>IF(DAY(DicDom1)=1,DicDom1+4,DicDom1+11)</f>
        <v>43804</v>
      </c>
      <c r="G5" s="10">
        <f>IF(DAY(DicDom1)=1,DicDom1+5,DicDom1+12)</f>
        <v>43805</v>
      </c>
      <c r="H5" s="10">
        <f>IF(DAY(DicDom1)=1,DicDom1+6,DicDom1+13)</f>
        <v>43806</v>
      </c>
      <c r="I5" s="10">
        <f>IF(DAY(DicDom1)=1,DicDom1+7,DicDom1+14)</f>
        <v>43807</v>
      </c>
      <c r="J5" s="5"/>
      <c r="K5" s="97"/>
      <c r="L5" s="17"/>
      <c r="M5" s="81"/>
      <c r="N5" s="82"/>
    </row>
    <row r="6" spans="1:14" ht="18" customHeight="1" x14ac:dyDescent="0.2">
      <c r="A6" s="4"/>
      <c r="B6" s="90"/>
      <c r="C6" s="10">
        <f>IF(DAY(DicDom1)=1,DicDom1+8,DicDom1+15)</f>
        <v>43808</v>
      </c>
      <c r="D6" s="10">
        <f>IF(DAY(DicDom1)=1,DicDom1+9,DicDom1+16)</f>
        <v>43809</v>
      </c>
      <c r="E6" s="10">
        <f>IF(DAY(DicDom1)=1,DicDom1+10,DicDom1+17)</f>
        <v>43810</v>
      </c>
      <c r="F6" s="10">
        <f>IF(DAY(DicDom1)=1,DicDom1+11,DicDom1+18)</f>
        <v>43811</v>
      </c>
      <c r="G6" s="10">
        <f>IF(DAY(DicDom1)=1,DicDom1+12,DicDom1+19)</f>
        <v>43812</v>
      </c>
      <c r="H6" s="10">
        <f>IF(DAY(DicDom1)=1,DicDom1+13,DicDom1+20)</f>
        <v>43813</v>
      </c>
      <c r="I6" s="10">
        <f>IF(DAY(DicDom1)=1,DicDom1+14,DicDom1+21)</f>
        <v>43814</v>
      </c>
      <c r="J6" s="5"/>
      <c r="K6" s="97"/>
      <c r="L6" s="17"/>
      <c r="M6" s="81"/>
      <c r="N6" s="82"/>
    </row>
    <row r="7" spans="1:14" ht="18" customHeight="1" x14ac:dyDescent="0.2">
      <c r="A7" s="4"/>
      <c r="B7" s="90"/>
      <c r="C7" s="10">
        <f>IF(DAY(DicDom1)=1,DicDom1+15,DicDom1+22)</f>
        <v>43815</v>
      </c>
      <c r="D7" s="10">
        <f>IF(DAY(DicDom1)=1,DicDom1+16,DicDom1+23)</f>
        <v>43816</v>
      </c>
      <c r="E7" s="10">
        <f>IF(DAY(DicDom1)=1,DicDom1+17,DicDom1+24)</f>
        <v>43817</v>
      </c>
      <c r="F7" s="10">
        <f>IF(DAY(DicDom1)=1,DicDom1+18,DicDom1+25)</f>
        <v>43818</v>
      </c>
      <c r="G7" s="10">
        <f>IF(DAY(DicDom1)=1,DicDom1+19,DicDom1+26)</f>
        <v>43819</v>
      </c>
      <c r="H7" s="10">
        <f>IF(DAY(DicDom1)=1,DicDom1+20,DicDom1+27)</f>
        <v>43820</v>
      </c>
      <c r="I7" s="10">
        <f>IF(DAY(DicDom1)=1,DicDom1+21,DicDom1+28)</f>
        <v>43821</v>
      </c>
      <c r="J7" s="5"/>
      <c r="K7" s="11"/>
      <c r="L7" s="17"/>
      <c r="M7" s="81"/>
      <c r="N7" s="82"/>
    </row>
    <row r="8" spans="1:14" ht="18.75" customHeight="1" x14ac:dyDescent="0.2">
      <c r="A8" s="4"/>
      <c r="B8" s="90"/>
      <c r="C8" s="10">
        <f>IF(DAY(DicDom1)=1,DicDom1+22,DicDom1+29)</f>
        <v>43822</v>
      </c>
      <c r="D8" s="10">
        <f>IF(DAY(DicDom1)=1,DicDom1+23,DicDom1+30)</f>
        <v>43823</v>
      </c>
      <c r="E8" s="10">
        <f>IF(DAY(DicDom1)=1,DicDom1+24,DicDom1+31)</f>
        <v>43824</v>
      </c>
      <c r="F8" s="10">
        <f>IF(DAY(DicDom1)=1,DicDom1+25,DicDom1+32)</f>
        <v>43825</v>
      </c>
      <c r="G8" s="10">
        <f>IF(DAY(DicDom1)=1,DicDom1+26,DicDom1+33)</f>
        <v>43826</v>
      </c>
      <c r="H8" s="10">
        <f>IF(DAY(DicDom1)=1,DicDom1+27,DicDom1+34)</f>
        <v>43827</v>
      </c>
      <c r="I8" s="10">
        <f>IF(DAY(DicDom1)=1,DicDom1+28,DicDom1+35)</f>
        <v>43828</v>
      </c>
      <c r="J8" s="5"/>
      <c r="K8" s="11"/>
      <c r="L8" s="17"/>
      <c r="M8" s="81"/>
      <c r="N8" s="82"/>
    </row>
    <row r="9" spans="1:14" ht="18" customHeight="1" x14ac:dyDescent="0.2">
      <c r="A9" s="4"/>
      <c r="B9" s="90"/>
      <c r="C9" s="10">
        <f>IF(DAY(DicDom1)=1,DicDom1+29,DicDom1+36)</f>
        <v>43829</v>
      </c>
      <c r="D9" s="10">
        <f>IF(DAY(DicDom1)=1,DicDom1+30,DicDom1+37)</f>
        <v>43830</v>
      </c>
      <c r="E9" s="10">
        <f>IF(DAY(DicDom1)=1,DicDom1+31,DicDom1+38)</f>
        <v>43831</v>
      </c>
      <c r="F9" s="10">
        <f>IF(DAY(DicDom1)=1,DicDom1+32,DicDom1+39)</f>
        <v>43832</v>
      </c>
      <c r="G9" s="10">
        <f>IF(DAY(DicDom1)=1,DicDom1+33,DicDom1+40)</f>
        <v>43833</v>
      </c>
      <c r="H9" s="10">
        <f>IF(DAY(DicDom1)=1,DicDom1+34,DicDom1+41)</f>
        <v>43834</v>
      </c>
      <c r="I9" s="10">
        <f>IF(DAY(DicDom1)=1,DicDom1+35,DicDom1+42)</f>
        <v>43835</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 priority="3" stopIfTrue="1">
      <formula>DAY(C4)&gt;8</formula>
    </cfRule>
  </conditionalFormatting>
  <conditionalFormatting sqref="C8:I10">
    <cfRule type="expression" dxfId="2" priority="2" stopIfTrue="1">
      <formula>AND(DAY(C8)&gt;=1,DAY(C8)&lt;=15)</formula>
    </cfRule>
  </conditionalFormatting>
  <conditionalFormatting sqref="C4:I9">
    <cfRule type="expression" dxfId="1" priority="4">
      <formula>VLOOKUP(DAY(C4),DíasDeTareas,1,FALSE)=DAY(C4)</formula>
    </cfRule>
  </conditionalFormatting>
  <conditionalFormatting sqref="B14:J33">
    <cfRule type="expression" dxfId="0" priority="1">
      <formula>B14&lt;&gt;""</formula>
    </cfRule>
  </conditionalFormatting>
  <printOptions horizontalCentered="1"/>
  <pageMargins left="0.5" right="0.5" top="0.5" bottom="0.5" header="0.3" footer="0.3"/>
  <pageSetup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16" sqref="M16"/>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25</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IF(DAY(FebDom1)=1,FebDom1-6,FebDom1+1)</f>
        <v>43493</v>
      </c>
      <c r="D4" s="10">
        <f>IF(DAY(FebDom1)=1,FebDom1-5,FebDom1+2)</f>
        <v>43494</v>
      </c>
      <c r="E4" s="10">
        <f>IF(DAY(FebDom1)=1,FebDom1-4,FebDom1+3)</f>
        <v>43495</v>
      </c>
      <c r="F4" s="10">
        <f>IF(DAY(FebDom1)=1,FebDom1-3,FebDom1+4)</f>
        <v>43496</v>
      </c>
      <c r="G4" s="10">
        <f>IF(DAY(FebDom1)=1,FebDom1-2,FebDom1+5)</f>
        <v>43497</v>
      </c>
      <c r="H4" s="10">
        <f>IF(DAY(FebDom1)=1,FebDom1-1,FebDom1+6)</f>
        <v>43498</v>
      </c>
      <c r="I4" s="10">
        <f>IF(DAY(FebDom1)=1,FebDom1,FebDom1+7)</f>
        <v>43499</v>
      </c>
      <c r="J4" s="5"/>
      <c r="K4" s="96" t="s">
        <v>11</v>
      </c>
      <c r="L4" s="16">
        <v>4</v>
      </c>
      <c r="M4" s="34" t="s">
        <v>26</v>
      </c>
      <c r="N4" s="35"/>
    </row>
    <row r="5" spans="1:14" ht="18" customHeight="1" x14ac:dyDescent="0.2">
      <c r="A5" s="4"/>
      <c r="B5" s="90"/>
      <c r="C5" s="10">
        <f>IF(DAY(FebDom1)=1,FebDom1+1,FebDom1+8)</f>
        <v>43500</v>
      </c>
      <c r="D5" s="10">
        <f>IF(DAY(FebDom1)=1,FebDom1+2,FebDom1+9)</f>
        <v>43501</v>
      </c>
      <c r="E5" s="10">
        <f>IF(DAY(FebDom1)=1,FebDom1+3,FebDom1+10)</f>
        <v>43502</v>
      </c>
      <c r="F5" s="10">
        <f>IF(DAY(FebDom1)=1,FebDom1+4,FebDom1+11)</f>
        <v>43503</v>
      </c>
      <c r="G5" s="10">
        <f>IF(DAY(FebDom1)=1,FebDom1+5,FebDom1+12)</f>
        <v>43504</v>
      </c>
      <c r="H5" s="10">
        <f>IF(DAY(FebDom1)=1,FebDom1+6,FebDom1+13)</f>
        <v>43505</v>
      </c>
      <c r="I5" s="10">
        <f>IF(DAY(FebDom1)=1,FebDom1+7,FebDom1+14)</f>
        <v>43506</v>
      </c>
      <c r="J5" s="5"/>
      <c r="K5" s="97"/>
      <c r="L5" s="17">
        <v>11</v>
      </c>
      <c r="M5" s="28" t="s">
        <v>27</v>
      </c>
      <c r="N5" s="29"/>
    </row>
    <row r="6" spans="1:14" ht="18" customHeight="1" x14ac:dyDescent="0.2">
      <c r="A6" s="4"/>
      <c r="B6" s="90"/>
      <c r="C6" s="10">
        <f>IF(DAY(FebDom1)=1,FebDom1+8,FebDom1+15)</f>
        <v>43507</v>
      </c>
      <c r="D6" s="10">
        <f>IF(DAY(FebDom1)=1,FebDom1+9,FebDom1+16)</f>
        <v>43508</v>
      </c>
      <c r="E6" s="10">
        <f>IF(DAY(FebDom1)=1,FebDom1+10,FebDom1+17)</f>
        <v>43509</v>
      </c>
      <c r="F6" s="10">
        <f>IF(DAY(FebDom1)=1,FebDom1+11,FebDom1+18)</f>
        <v>43510</v>
      </c>
      <c r="G6" s="10">
        <f>IF(DAY(FebDom1)=1,FebDom1+12,FebDom1+19)</f>
        <v>43511</v>
      </c>
      <c r="H6" s="10">
        <f>IF(DAY(FebDom1)=1,FebDom1+13,FebDom1+20)</f>
        <v>43512</v>
      </c>
      <c r="I6" s="10">
        <f>IF(DAY(FebDom1)=1,FebDom1+14,FebDom1+21)</f>
        <v>43513</v>
      </c>
      <c r="J6" s="5"/>
      <c r="K6" s="97"/>
      <c r="L6" s="17">
        <v>18</v>
      </c>
      <c r="M6" s="28" t="s">
        <v>28</v>
      </c>
      <c r="N6" s="29"/>
    </row>
    <row r="7" spans="1:14" ht="18" customHeight="1" x14ac:dyDescent="0.2">
      <c r="A7" s="4"/>
      <c r="B7" s="90"/>
      <c r="C7" s="10">
        <f>IF(DAY(FebDom1)=1,FebDom1+15,FebDom1+22)</f>
        <v>43514</v>
      </c>
      <c r="D7" s="10">
        <f>IF(DAY(FebDom1)=1,FebDom1+16,FebDom1+23)</f>
        <v>43515</v>
      </c>
      <c r="E7" s="10">
        <f>IF(DAY(FebDom1)=1,FebDom1+17,FebDom1+24)</f>
        <v>43516</v>
      </c>
      <c r="F7" s="10">
        <f>IF(DAY(FebDom1)=1,FebDom1+18,FebDom1+25)</f>
        <v>43517</v>
      </c>
      <c r="G7" s="10">
        <f>IF(DAY(FebDom1)=1,FebDom1+19,FebDom1+26)</f>
        <v>43518</v>
      </c>
      <c r="H7" s="10">
        <f>IF(DAY(FebDom1)=1,FebDom1+20,FebDom1+27)</f>
        <v>43519</v>
      </c>
      <c r="I7" s="10">
        <f>IF(DAY(FebDom1)=1,FebDom1+21,FebDom1+28)</f>
        <v>43520</v>
      </c>
      <c r="J7" s="5"/>
      <c r="K7" s="11"/>
      <c r="L7" s="17">
        <v>25</v>
      </c>
      <c r="M7" s="28" t="s">
        <v>29</v>
      </c>
      <c r="N7" s="29"/>
    </row>
    <row r="8" spans="1:14" ht="18.75" customHeight="1" x14ac:dyDescent="0.2">
      <c r="A8" s="4"/>
      <c r="B8" s="90"/>
      <c r="C8" s="10">
        <f>IF(DAY(FebDom1)=1,FebDom1+22,FebDom1+29)</f>
        <v>43521</v>
      </c>
      <c r="D8" s="10">
        <f>IF(DAY(FebDom1)=1,FebDom1+23,FebDom1+30)</f>
        <v>43522</v>
      </c>
      <c r="E8" s="10">
        <f>IF(DAY(FebDom1)=1,FebDom1+24,FebDom1+31)</f>
        <v>43523</v>
      </c>
      <c r="F8" s="10">
        <f>IF(DAY(FebDom1)=1,FebDom1+25,FebDom1+32)</f>
        <v>43524</v>
      </c>
      <c r="G8" s="10">
        <f>IF(DAY(FebDom1)=1,FebDom1+26,FebDom1+33)</f>
        <v>43525</v>
      </c>
      <c r="H8" s="10">
        <f>IF(DAY(FebDom1)=1,FebDom1+27,FebDom1+34)</f>
        <v>43526</v>
      </c>
      <c r="I8" s="10">
        <f>IF(DAY(FebDom1)=1,FebDom1+28,FebDom1+35)</f>
        <v>43527</v>
      </c>
      <c r="J8" s="5"/>
      <c r="K8" s="11"/>
      <c r="L8" s="17"/>
      <c r="M8" s="28"/>
      <c r="N8" s="29"/>
    </row>
    <row r="9" spans="1:14" ht="18" customHeight="1" x14ac:dyDescent="0.2">
      <c r="A9" s="4"/>
      <c r="B9" s="90"/>
      <c r="C9" s="10">
        <f>IF(DAY(FebDom1)=1,FebDom1+29,FebDom1+36)</f>
        <v>43528</v>
      </c>
      <c r="D9" s="10">
        <f>IF(DAY(FebDom1)=1,FebDom1+30,FebDom1+37)</f>
        <v>43529</v>
      </c>
      <c r="E9" s="10">
        <f>IF(DAY(FebDom1)=1,FebDom1+31,FebDom1+38)</f>
        <v>43530</v>
      </c>
      <c r="F9" s="10">
        <f>IF(DAY(FebDom1)=1,FebDom1+32,FebDom1+39)</f>
        <v>43531</v>
      </c>
      <c r="G9" s="10">
        <f>IF(DAY(FebDom1)=1,FebDom1+33,FebDom1+40)</f>
        <v>43532</v>
      </c>
      <c r="H9" s="10">
        <f>IF(DAY(FebDom1)=1,FebDom1+34,FebDom1+41)</f>
        <v>43533</v>
      </c>
      <c r="I9" s="10">
        <f>IF(DAY(FebDom1)=1,FebDom1+35,FebDom1+42)</f>
        <v>43534</v>
      </c>
      <c r="J9" s="5"/>
      <c r="K9" s="12"/>
      <c r="L9" s="18"/>
      <c r="M9" s="30"/>
      <c r="N9" s="31"/>
    </row>
    <row r="10" spans="1:14" ht="18" customHeight="1" x14ac:dyDescent="0.2">
      <c r="A10" s="4"/>
      <c r="B10" s="91"/>
      <c r="C10" s="23"/>
      <c r="D10" s="23"/>
      <c r="E10" s="23"/>
      <c r="F10" s="23"/>
      <c r="G10" s="23"/>
      <c r="H10" s="23"/>
      <c r="I10" s="23"/>
      <c r="J10" s="24"/>
      <c r="K10" s="98" t="s">
        <v>12</v>
      </c>
      <c r="L10" s="16">
        <v>5</v>
      </c>
      <c r="M10" s="32" t="s">
        <v>30</v>
      </c>
      <c r="N10" s="33"/>
    </row>
    <row r="11" spans="1:14" ht="18" customHeight="1" x14ac:dyDescent="0.2">
      <c r="A11" s="4"/>
      <c r="B11" s="99" t="s">
        <v>10</v>
      </c>
      <c r="C11" s="100"/>
      <c r="D11" s="100"/>
      <c r="E11" s="100"/>
      <c r="F11" s="100"/>
      <c r="G11" s="100"/>
      <c r="H11" s="100"/>
      <c r="I11" s="100"/>
      <c r="J11" s="101"/>
      <c r="K11" s="97"/>
      <c r="L11" s="17">
        <v>12</v>
      </c>
      <c r="M11" s="28" t="s">
        <v>31</v>
      </c>
      <c r="N11" s="29"/>
    </row>
    <row r="12" spans="1:14" ht="18" customHeight="1" x14ac:dyDescent="0.2">
      <c r="A12" s="4"/>
      <c r="B12" s="99"/>
      <c r="C12" s="100"/>
      <c r="D12" s="100"/>
      <c r="E12" s="100"/>
      <c r="F12" s="100"/>
      <c r="G12" s="100"/>
      <c r="H12" s="100"/>
      <c r="I12" s="100"/>
      <c r="J12" s="101"/>
      <c r="K12" s="97"/>
      <c r="L12" s="17">
        <v>19</v>
      </c>
      <c r="M12" s="28" t="s">
        <v>32</v>
      </c>
      <c r="N12" s="29"/>
    </row>
    <row r="13" spans="1:14" ht="18" customHeight="1" x14ac:dyDescent="0.2">
      <c r="B13" s="3" t="s">
        <v>11</v>
      </c>
      <c r="C13" s="102" t="s">
        <v>12</v>
      </c>
      <c r="D13" s="103"/>
      <c r="E13" s="102" t="s">
        <v>13</v>
      </c>
      <c r="F13" s="103"/>
      <c r="G13" s="102" t="s">
        <v>14</v>
      </c>
      <c r="H13" s="103"/>
      <c r="I13" s="102" t="s">
        <v>15</v>
      </c>
      <c r="J13" s="104"/>
      <c r="K13" s="11"/>
      <c r="L13" s="17">
        <v>26</v>
      </c>
      <c r="M13" s="28" t="s">
        <v>33</v>
      </c>
      <c r="N13" s="29"/>
    </row>
    <row r="14" spans="1:14" ht="18" customHeight="1" x14ac:dyDescent="0.2">
      <c r="B14" s="8"/>
      <c r="C14" s="51"/>
      <c r="D14" s="57"/>
      <c r="E14" s="51"/>
      <c r="F14" s="57"/>
      <c r="G14" s="51"/>
      <c r="H14" s="57"/>
      <c r="I14" s="51"/>
      <c r="J14" s="52"/>
      <c r="K14" s="11"/>
      <c r="L14" s="17"/>
      <c r="M14" s="28"/>
      <c r="N14" s="29"/>
    </row>
    <row r="15" spans="1:14" ht="18" customHeight="1" x14ac:dyDescent="0.2">
      <c r="B15" s="6"/>
      <c r="C15" s="53"/>
      <c r="D15" s="54"/>
      <c r="E15" s="53"/>
      <c r="F15" s="54"/>
      <c r="G15" s="53"/>
      <c r="H15" s="54"/>
      <c r="I15" s="55"/>
      <c r="J15" s="56"/>
      <c r="K15" s="13"/>
      <c r="L15" s="19"/>
      <c r="M15" s="30"/>
      <c r="N15" s="31"/>
    </row>
    <row r="16" spans="1:14" ht="18" customHeight="1" x14ac:dyDescent="0.2">
      <c r="B16" s="8"/>
      <c r="C16" s="51"/>
      <c r="D16" s="57"/>
      <c r="E16" s="51"/>
      <c r="F16" s="57"/>
      <c r="G16" s="51"/>
      <c r="H16" s="57"/>
      <c r="I16" s="58"/>
      <c r="J16" s="59"/>
      <c r="K16" s="105" t="s">
        <v>13</v>
      </c>
      <c r="L16" s="16">
        <v>6</v>
      </c>
      <c r="M16" s="32" t="s">
        <v>34</v>
      </c>
      <c r="N16" s="33"/>
    </row>
    <row r="17" spans="2:14" ht="18" customHeight="1" x14ac:dyDescent="0.2">
      <c r="B17" s="6"/>
      <c r="C17" s="53"/>
      <c r="D17" s="54"/>
      <c r="E17" s="53"/>
      <c r="F17" s="54"/>
      <c r="G17" s="53"/>
      <c r="H17" s="54"/>
      <c r="I17" s="55"/>
      <c r="J17" s="56"/>
      <c r="K17" s="106"/>
      <c r="L17" s="17">
        <v>13</v>
      </c>
      <c r="M17" s="28" t="s">
        <v>35</v>
      </c>
      <c r="N17" s="29"/>
    </row>
    <row r="18" spans="2:14" ht="18" customHeight="1" x14ac:dyDescent="0.2">
      <c r="B18" s="9"/>
      <c r="C18" s="67"/>
      <c r="D18" s="68"/>
      <c r="E18" s="67"/>
      <c r="F18" s="68"/>
      <c r="G18" s="67"/>
      <c r="H18" s="68"/>
      <c r="I18" s="67"/>
      <c r="J18" s="69"/>
      <c r="K18" s="106"/>
      <c r="L18" s="17">
        <v>20</v>
      </c>
      <c r="M18" s="28" t="s">
        <v>36</v>
      </c>
      <c r="N18" s="29"/>
    </row>
    <row r="19" spans="2:14" ht="18" customHeight="1" x14ac:dyDescent="0.2">
      <c r="B19" s="6"/>
      <c r="C19" s="53"/>
      <c r="D19" s="54"/>
      <c r="E19" s="53"/>
      <c r="F19" s="54"/>
      <c r="G19" s="53"/>
      <c r="H19" s="54"/>
      <c r="I19" s="55"/>
      <c r="J19" s="56"/>
      <c r="K19" s="11"/>
      <c r="L19" s="17">
        <v>27</v>
      </c>
      <c r="M19" s="28" t="s">
        <v>37</v>
      </c>
      <c r="N19" s="29"/>
    </row>
    <row r="20" spans="2:14" ht="18" customHeight="1" x14ac:dyDescent="0.2">
      <c r="B20" s="8"/>
      <c r="C20" s="51"/>
      <c r="D20" s="57"/>
      <c r="E20" s="51"/>
      <c r="F20" s="57"/>
      <c r="G20" s="51"/>
      <c r="H20" s="57"/>
      <c r="I20" s="51"/>
      <c r="J20" s="52"/>
      <c r="K20" s="11"/>
      <c r="L20" s="17"/>
      <c r="M20" s="28"/>
      <c r="N20" s="29"/>
    </row>
    <row r="21" spans="2:14" ht="18" customHeight="1" x14ac:dyDescent="0.2">
      <c r="B21" s="6"/>
      <c r="C21" s="53"/>
      <c r="D21" s="54"/>
      <c r="E21" s="53"/>
      <c r="F21" s="54"/>
      <c r="G21" s="53"/>
      <c r="H21" s="54"/>
      <c r="I21" s="72"/>
      <c r="J21" s="73"/>
      <c r="K21" s="13"/>
      <c r="L21" s="19"/>
      <c r="M21" s="30"/>
      <c r="N21" s="31"/>
    </row>
    <row r="22" spans="2:14" ht="18" customHeight="1" x14ac:dyDescent="0.2">
      <c r="B22" s="8"/>
      <c r="C22" s="51"/>
      <c r="D22" s="57"/>
      <c r="E22" s="51"/>
      <c r="F22" s="57"/>
      <c r="G22" s="51"/>
      <c r="H22" s="57"/>
      <c r="I22" s="51"/>
      <c r="J22" s="52"/>
      <c r="K22" s="105" t="s">
        <v>14</v>
      </c>
      <c r="L22" s="16"/>
      <c r="M22" s="32" t="s">
        <v>38</v>
      </c>
      <c r="N22" s="33"/>
    </row>
    <row r="23" spans="2:14" ht="18" customHeight="1" x14ac:dyDescent="0.2">
      <c r="B23" s="6"/>
      <c r="C23" s="53"/>
      <c r="D23" s="54"/>
      <c r="E23" s="53"/>
      <c r="F23" s="54"/>
      <c r="G23" s="53"/>
      <c r="H23" s="54"/>
      <c r="I23" s="55"/>
      <c r="J23" s="56"/>
      <c r="K23" s="106"/>
      <c r="L23" s="17">
        <v>7</v>
      </c>
      <c r="M23" s="28" t="s">
        <v>39</v>
      </c>
      <c r="N23" s="29"/>
    </row>
    <row r="24" spans="2:14" ht="18" customHeight="1" x14ac:dyDescent="0.2">
      <c r="B24" s="8"/>
      <c r="C24" s="51"/>
      <c r="D24" s="57"/>
      <c r="E24" s="51"/>
      <c r="F24" s="57"/>
      <c r="G24" s="51"/>
      <c r="H24" s="57"/>
      <c r="I24" s="51"/>
      <c r="J24" s="52"/>
      <c r="K24" s="106"/>
      <c r="L24" s="17">
        <v>14</v>
      </c>
      <c r="M24" s="28" t="s">
        <v>40</v>
      </c>
      <c r="N24" s="29"/>
    </row>
    <row r="25" spans="2:14" ht="18" customHeight="1" x14ac:dyDescent="0.2">
      <c r="B25" s="6"/>
      <c r="C25" s="53"/>
      <c r="D25" s="54"/>
      <c r="E25" s="53"/>
      <c r="F25" s="54"/>
      <c r="G25" s="53"/>
      <c r="H25" s="54"/>
      <c r="I25" s="55"/>
      <c r="J25" s="56"/>
      <c r="K25" s="106"/>
      <c r="L25" s="17">
        <v>21</v>
      </c>
      <c r="M25" s="28" t="s">
        <v>41</v>
      </c>
      <c r="N25" s="29"/>
    </row>
    <row r="26" spans="2:14" ht="18" customHeight="1" x14ac:dyDescent="0.2">
      <c r="B26" s="8"/>
      <c r="C26" s="51"/>
      <c r="D26" s="57"/>
      <c r="E26" s="51"/>
      <c r="F26" s="57"/>
      <c r="G26" s="51"/>
      <c r="H26" s="57"/>
      <c r="I26" s="51"/>
      <c r="J26" s="52"/>
      <c r="K26" s="11"/>
      <c r="L26" s="17">
        <v>28</v>
      </c>
      <c r="M26" s="28" t="s">
        <v>42</v>
      </c>
      <c r="N26" s="29"/>
    </row>
    <row r="27" spans="2:14" ht="18" customHeight="1" x14ac:dyDescent="0.2">
      <c r="B27" s="6"/>
      <c r="C27" s="53"/>
      <c r="D27" s="54"/>
      <c r="E27" s="53"/>
      <c r="F27" s="54"/>
      <c r="G27" s="53"/>
      <c r="H27" s="54"/>
      <c r="I27" s="55"/>
      <c r="J27" s="56"/>
      <c r="K27" s="13"/>
      <c r="L27" s="19"/>
      <c r="M27" s="30"/>
      <c r="N27" s="31"/>
    </row>
    <row r="28" spans="2:14" ht="18" customHeight="1" x14ac:dyDescent="0.2">
      <c r="B28" s="8"/>
      <c r="C28" s="51"/>
      <c r="D28" s="57"/>
      <c r="E28" s="51"/>
      <c r="F28" s="57"/>
      <c r="G28" s="51"/>
      <c r="H28" s="57"/>
      <c r="I28" s="51"/>
      <c r="J28" s="52"/>
      <c r="K28" s="98" t="s">
        <v>15</v>
      </c>
      <c r="L28" s="16">
        <v>1</v>
      </c>
      <c r="M28" s="32" t="s">
        <v>43</v>
      </c>
      <c r="N28" s="33"/>
    </row>
    <row r="29" spans="2:14" ht="18" customHeight="1" x14ac:dyDescent="0.2">
      <c r="B29" s="6"/>
      <c r="C29" s="53"/>
      <c r="D29" s="54"/>
      <c r="E29" s="53"/>
      <c r="F29" s="54"/>
      <c r="G29" s="53"/>
      <c r="H29" s="54"/>
      <c r="I29" s="53"/>
      <c r="J29" s="74"/>
      <c r="K29" s="97"/>
      <c r="L29" s="17">
        <v>8</v>
      </c>
      <c r="M29" s="28" t="s">
        <v>44</v>
      </c>
      <c r="N29" s="29"/>
    </row>
    <row r="30" spans="2:14" ht="18" customHeight="1" x14ac:dyDescent="0.2">
      <c r="B30" s="8"/>
      <c r="C30" s="51"/>
      <c r="D30" s="57"/>
      <c r="E30" s="51"/>
      <c r="F30" s="57"/>
      <c r="G30" s="51"/>
      <c r="H30" s="57"/>
      <c r="I30" s="85"/>
      <c r="J30" s="86"/>
      <c r="K30" s="97"/>
      <c r="L30" s="17">
        <v>15</v>
      </c>
      <c r="M30" s="28" t="s">
        <v>45</v>
      </c>
      <c r="N30" s="29"/>
    </row>
    <row r="31" spans="2:14" ht="18" customHeight="1" x14ac:dyDescent="0.2">
      <c r="B31" s="6"/>
      <c r="C31" s="53"/>
      <c r="D31" s="54"/>
      <c r="E31" s="53"/>
      <c r="F31" s="54"/>
      <c r="G31" s="53"/>
      <c r="H31" s="54"/>
      <c r="I31" s="53"/>
      <c r="J31" s="74"/>
      <c r="K31" s="14"/>
      <c r="L31" s="17">
        <v>22</v>
      </c>
      <c r="M31" s="28" t="s">
        <v>46</v>
      </c>
      <c r="N31" s="29"/>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94">
    <mergeCell ref="M32:N32"/>
    <mergeCell ref="C31:D31"/>
    <mergeCell ref="E31:F31"/>
    <mergeCell ref="G31:H31"/>
    <mergeCell ref="I31:J31"/>
    <mergeCell ref="C32:D32"/>
    <mergeCell ref="E32:F32"/>
    <mergeCell ref="G32:H32"/>
    <mergeCell ref="I32:J32"/>
    <mergeCell ref="C33:D33"/>
    <mergeCell ref="E33:F33"/>
    <mergeCell ref="G33:H33"/>
    <mergeCell ref="I33:J33"/>
    <mergeCell ref="M33:N33"/>
    <mergeCell ref="K28:K30"/>
    <mergeCell ref="C29:D29"/>
    <mergeCell ref="E29:F29"/>
    <mergeCell ref="G29:H29"/>
    <mergeCell ref="I29:J29"/>
    <mergeCell ref="C30:D30"/>
    <mergeCell ref="E30:F30"/>
    <mergeCell ref="G30:H30"/>
    <mergeCell ref="I30:J30"/>
    <mergeCell ref="C28:D28"/>
    <mergeCell ref="E28:F28"/>
    <mergeCell ref="G28:H28"/>
    <mergeCell ref="I28:J28"/>
    <mergeCell ref="C26:D26"/>
    <mergeCell ref="E26:F26"/>
    <mergeCell ref="G26:H26"/>
    <mergeCell ref="I26:J26"/>
    <mergeCell ref="C27:D27"/>
    <mergeCell ref="E27:F27"/>
    <mergeCell ref="G27:H27"/>
    <mergeCell ref="I27:J27"/>
    <mergeCell ref="K22:K25"/>
    <mergeCell ref="C24:D24"/>
    <mergeCell ref="E24:F24"/>
    <mergeCell ref="G24:H24"/>
    <mergeCell ref="I24:J24"/>
    <mergeCell ref="C25:D25"/>
    <mergeCell ref="E25:F25"/>
    <mergeCell ref="G25:H25"/>
    <mergeCell ref="I25:J25"/>
    <mergeCell ref="C23:D23"/>
    <mergeCell ref="E23:F23"/>
    <mergeCell ref="G23:H23"/>
    <mergeCell ref="I23:J23"/>
    <mergeCell ref="C21:D21"/>
    <mergeCell ref="E21:F21"/>
    <mergeCell ref="G21:H21"/>
    <mergeCell ref="I21:J21"/>
    <mergeCell ref="C22:D22"/>
    <mergeCell ref="E22:F22"/>
    <mergeCell ref="G22:H22"/>
    <mergeCell ref="I22:J22"/>
    <mergeCell ref="C19:D19"/>
    <mergeCell ref="E19:F19"/>
    <mergeCell ref="G19:H19"/>
    <mergeCell ref="I19:J19"/>
    <mergeCell ref="C20:D20"/>
    <mergeCell ref="E20:F20"/>
    <mergeCell ref="G20:H20"/>
    <mergeCell ref="I20:J20"/>
    <mergeCell ref="K16:K18"/>
    <mergeCell ref="C17:D17"/>
    <mergeCell ref="E17:F17"/>
    <mergeCell ref="G17:H17"/>
    <mergeCell ref="I17:J17"/>
    <mergeCell ref="C15:D15"/>
    <mergeCell ref="E15:F15"/>
    <mergeCell ref="G15:H15"/>
    <mergeCell ref="I15:J15"/>
    <mergeCell ref="C18:D18"/>
    <mergeCell ref="E18:F18"/>
    <mergeCell ref="G18:H18"/>
    <mergeCell ref="I18:J18"/>
    <mergeCell ref="C16:D16"/>
    <mergeCell ref="E16:F16"/>
    <mergeCell ref="G16:H16"/>
    <mergeCell ref="I16:J16"/>
    <mergeCell ref="B2:B10"/>
    <mergeCell ref="K2:M3"/>
    <mergeCell ref="K4:K6"/>
    <mergeCell ref="K10:K12"/>
    <mergeCell ref="C14:D14"/>
    <mergeCell ref="E14:F14"/>
    <mergeCell ref="G14:H14"/>
    <mergeCell ref="I14:J14"/>
    <mergeCell ref="B11:J12"/>
    <mergeCell ref="C13:D13"/>
    <mergeCell ref="E13:F13"/>
    <mergeCell ref="G13:H13"/>
    <mergeCell ref="I13:J13"/>
  </mergeCells>
  <conditionalFormatting sqref="C4:H4">
    <cfRule type="expression" dxfId="43" priority="3" stopIfTrue="1">
      <formula>DAY(C4)&gt;8</formula>
    </cfRule>
  </conditionalFormatting>
  <conditionalFormatting sqref="C8:I10">
    <cfRule type="expression" dxfId="42" priority="2" stopIfTrue="1">
      <formula>AND(DAY(C8)&gt;=1,DAY(C8)&lt;=15)</formula>
    </cfRule>
  </conditionalFormatting>
  <conditionalFormatting sqref="C4:I9">
    <cfRule type="expression" dxfId="41" priority="4">
      <formula>VLOOKUP(DAY(C4),DíasDeTareas,1,FALSE)=DAY(C4)</formula>
    </cfRule>
  </conditionalFormatting>
  <conditionalFormatting sqref="B14:J33">
    <cfRule type="expression" dxfId="40" priority="1">
      <formula>B14&lt;&gt;""</formula>
    </cfRule>
  </conditionalFormatting>
  <printOptions horizontalCentered="1"/>
  <pageMargins left="0.5" right="0.5" top="0.5" bottom="0.5" header="0.3" footer="0.3"/>
  <pageSetup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23" sqref="M23:N2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24</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IF(DAY(MarDom1)=1,MarDom1-6,MarDom1+1)</f>
        <v>43521</v>
      </c>
      <c r="D4" s="10">
        <f>IF(DAY(MarDom1)=1,MarDom1-5,MarDom1+2)</f>
        <v>43522</v>
      </c>
      <c r="E4" s="10">
        <f>IF(DAY(MarDom1)=1,MarDom1-4,MarDom1+3)</f>
        <v>43523</v>
      </c>
      <c r="F4" s="10">
        <f>IF(DAY(MarDom1)=1,MarDom1-3,MarDom1+4)</f>
        <v>43524</v>
      </c>
      <c r="G4" s="10">
        <f>IF(DAY(MarDom1)=1,MarDom1-2,MarDom1+5)</f>
        <v>43525</v>
      </c>
      <c r="H4" s="10">
        <f>IF(DAY(MarDom1)=1,MarDom1-1,MarDom1+6)</f>
        <v>43526</v>
      </c>
      <c r="I4" s="10">
        <f>IF(DAY(MarDom1)=1,MarDom1,MarDom1+7)</f>
        <v>43527</v>
      </c>
      <c r="J4" s="5"/>
      <c r="K4" s="96" t="s">
        <v>11</v>
      </c>
      <c r="L4" s="16">
        <v>4</v>
      </c>
      <c r="M4" s="109" t="s">
        <v>47</v>
      </c>
      <c r="N4" s="110"/>
    </row>
    <row r="5" spans="1:14" ht="18" customHeight="1" x14ac:dyDescent="0.2">
      <c r="A5" s="4"/>
      <c r="B5" s="90"/>
      <c r="C5" s="10">
        <f>IF(DAY(MarDom1)=1,MarDom1+1,MarDom1+8)</f>
        <v>43528</v>
      </c>
      <c r="D5" s="10">
        <f>IF(DAY(MarDom1)=1,MarDom1+2,MarDom1+9)</f>
        <v>43529</v>
      </c>
      <c r="E5" s="10">
        <f>IF(DAY(MarDom1)=1,MarDom1+3,MarDom1+10)</f>
        <v>43530</v>
      </c>
      <c r="F5" s="10">
        <f>IF(DAY(MarDom1)=1,MarDom1+4,MarDom1+11)</f>
        <v>43531</v>
      </c>
      <c r="G5" s="10">
        <f>IF(DAY(MarDom1)=1,MarDom1+5,MarDom1+12)</f>
        <v>43532</v>
      </c>
      <c r="H5" s="10">
        <f>IF(DAY(MarDom1)=1,MarDom1+6,MarDom1+13)</f>
        <v>43533</v>
      </c>
      <c r="I5" s="10">
        <f>IF(DAY(MarDom1)=1,MarDom1+7,MarDom1+14)</f>
        <v>43534</v>
      </c>
      <c r="J5" s="5"/>
      <c r="K5" s="97"/>
      <c r="L5" s="17">
        <v>11</v>
      </c>
      <c r="M5" s="81" t="s">
        <v>52</v>
      </c>
      <c r="N5" s="82"/>
    </row>
    <row r="6" spans="1:14" ht="18" customHeight="1" x14ac:dyDescent="0.2">
      <c r="A6" s="4"/>
      <c r="B6" s="90"/>
      <c r="C6" s="10">
        <f>IF(DAY(MarDom1)=1,MarDom1+8,MarDom1+15)</f>
        <v>43535</v>
      </c>
      <c r="D6" s="10">
        <f>IF(DAY(MarDom1)=1,MarDom1+9,MarDom1+16)</f>
        <v>43536</v>
      </c>
      <c r="E6" s="10">
        <f>IF(DAY(MarDom1)=1,MarDom1+10,MarDom1+17)</f>
        <v>43537</v>
      </c>
      <c r="F6" s="10">
        <f>IF(DAY(MarDom1)=1,MarDom1+11,MarDom1+18)</f>
        <v>43538</v>
      </c>
      <c r="G6" s="10">
        <f>IF(DAY(MarDom1)=1,MarDom1+12,MarDom1+19)</f>
        <v>43539</v>
      </c>
      <c r="H6" s="10">
        <f>IF(DAY(MarDom1)=1,MarDom1+13,MarDom1+20)</f>
        <v>43540</v>
      </c>
      <c r="I6" s="10">
        <f>IF(DAY(MarDom1)=1,MarDom1+14,MarDom1+21)</f>
        <v>43541</v>
      </c>
      <c r="J6" s="5"/>
      <c r="K6" s="97"/>
      <c r="L6" s="17">
        <v>18</v>
      </c>
      <c r="M6" s="81" t="s">
        <v>26</v>
      </c>
      <c r="N6" s="82"/>
    </row>
    <row r="7" spans="1:14" ht="18" customHeight="1" x14ac:dyDescent="0.2">
      <c r="A7" s="4"/>
      <c r="B7" s="90"/>
      <c r="C7" s="10">
        <f>IF(DAY(MarDom1)=1,MarDom1+15,MarDom1+22)</f>
        <v>43542</v>
      </c>
      <c r="D7" s="10">
        <f>IF(DAY(MarDom1)=1,MarDom1+16,MarDom1+23)</f>
        <v>43543</v>
      </c>
      <c r="E7" s="10">
        <f>IF(DAY(MarDom1)=1,MarDom1+17,MarDom1+24)</f>
        <v>43544</v>
      </c>
      <c r="F7" s="10">
        <f>IF(DAY(MarDom1)=1,MarDom1+18,MarDom1+25)</f>
        <v>43545</v>
      </c>
      <c r="G7" s="10">
        <f>IF(DAY(MarDom1)=1,MarDom1+19,MarDom1+26)</f>
        <v>43546</v>
      </c>
      <c r="H7" s="10">
        <f>IF(DAY(MarDom1)=1,MarDom1+20,MarDom1+27)</f>
        <v>43547</v>
      </c>
      <c r="I7" s="10">
        <f>IF(DAY(MarDom1)=1,MarDom1+21,MarDom1+28)</f>
        <v>43548</v>
      </c>
      <c r="J7" s="5"/>
      <c r="K7" s="11"/>
      <c r="L7" s="17">
        <v>25</v>
      </c>
      <c r="M7" s="81" t="s">
        <v>61</v>
      </c>
      <c r="N7" s="82"/>
    </row>
    <row r="8" spans="1:14" ht="18.75" customHeight="1" x14ac:dyDescent="0.2">
      <c r="A8" s="4"/>
      <c r="B8" s="90"/>
      <c r="C8" s="10">
        <f>IF(DAY(MarDom1)=1,MarDom1+22,MarDom1+29)</f>
        <v>43549</v>
      </c>
      <c r="D8" s="10">
        <f>IF(DAY(MarDom1)=1,MarDom1+23,MarDom1+30)</f>
        <v>43550</v>
      </c>
      <c r="E8" s="10">
        <f>IF(DAY(MarDom1)=1,MarDom1+24,MarDom1+31)</f>
        <v>43551</v>
      </c>
      <c r="F8" s="10">
        <f>IF(DAY(MarDom1)=1,MarDom1+25,MarDom1+32)</f>
        <v>43552</v>
      </c>
      <c r="G8" s="10">
        <f>IF(DAY(MarDom1)=1,MarDom1+26,MarDom1+33)</f>
        <v>43553</v>
      </c>
      <c r="H8" s="10">
        <f>IF(DAY(MarDom1)=1,MarDom1+27,MarDom1+34)</f>
        <v>43554</v>
      </c>
      <c r="I8" s="10">
        <f>IF(DAY(MarDom1)=1,MarDom1+28,MarDom1+35)</f>
        <v>43555</v>
      </c>
      <c r="J8" s="5"/>
      <c r="K8" s="11"/>
      <c r="L8" s="17"/>
      <c r="M8" s="81"/>
      <c r="N8" s="82"/>
    </row>
    <row r="9" spans="1:14" ht="18" customHeight="1" x14ac:dyDescent="0.2">
      <c r="A9" s="4"/>
      <c r="B9" s="90"/>
      <c r="C9" s="10">
        <f>IF(DAY(MarDom1)=1,MarDom1+29,MarDom1+36)</f>
        <v>43556</v>
      </c>
      <c r="D9" s="10">
        <f>IF(DAY(MarDom1)=1,MarDom1+30,MarDom1+37)</f>
        <v>43557</v>
      </c>
      <c r="E9" s="10">
        <f>IF(DAY(MarDom1)=1,MarDom1+31,MarDom1+38)</f>
        <v>43558</v>
      </c>
      <c r="F9" s="10">
        <f>IF(DAY(MarDom1)=1,MarDom1+32,MarDom1+39)</f>
        <v>43559</v>
      </c>
      <c r="G9" s="10">
        <f>IF(DAY(MarDom1)=1,MarDom1+33,MarDom1+40)</f>
        <v>43560</v>
      </c>
      <c r="H9" s="10">
        <f>IF(DAY(MarDom1)=1,MarDom1+34,MarDom1+41)</f>
        <v>43561</v>
      </c>
      <c r="I9" s="10">
        <f>IF(DAY(MarDom1)=1,MarDom1+35,MarDom1+42)</f>
        <v>43562</v>
      </c>
      <c r="J9" s="5"/>
      <c r="K9" s="12"/>
      <c r="L9" s="18"/>
      <c r="M9" s="111"/>
      <c r="N9" s="112"/>
    </row>
    <row r="10" spans="1:14" ht="18" customHeight="1" x14ac:dyDescent="0.2">
      <c r="A10" s="4"/>
      <c r="B10" s="91"/>
      <c r="C10" s="23"/>
      <c r="D10" s="23"/>
      <c r="E10" s="23"/>
      <c r="F10" s="23"/>
      <c r="G10" s="23"/>
      <c r="H10" s="23"/>
      <c r="I10" s="23"/>
      <c r="J10" s="24"/>
      <c r="K10" s="98" t="s">
        <v>12</v>
      </c>
      <c r="L10" s="16">
        <v>5</v>
      </c>
      <c r="M10" s="107" t="s">
        <v>48</v>
      </c>
      <c r="N10" s="108"/>
    </row>
    <row r="11" spans="1:14" ht="18" customHeight="1" x14ac:dyDescent="0.2">
      <c r="A11" s="4"/>
      <c r="B11" s="99" t="s">
        <v>10</v>
      </c>
      <c r="C11" s="100"/>
      <c r="D11" s="100"/>
      <c r="E11" s="100"/>
      <c r="F11" s="100"/>
      <c r="G11" s="100"/>
      <c r="H11" s="100"/>
      <c r="I11" s="100"/>
      <c r="J11" s="101"/>
      <c r="K11" s="97"/>
      <c r="L11" s="17">
        <v>12</v>
      </c>
      <c r="M11" s="81" t="s">
        <v>53</v>
      </c>
      <c r="N11" s="82"/>
    </row>
    <row r="12" spans="1:14" ht="18" customHeight="1" x14ac:dyDescent="0.2">
      <c r="A12" s="4"/>
      <c r="B12" s="99"/>
      <c r="C12" s="100"/>
      <c r="D12" s="100"/>
      <c r="E12" s="100"/>
      <c r="F12" s="100"/>
      <c r="G12" s="100"/>
      <c r="H12" s="100"/>
      <c r="I12" s="100"/>
      <c r="J12" s="101"/>
      <c r="K12" s="97"/>
      <c r="L12" s="17">
        <v>19</v>
      </c>
      <c r="M12" s="81" t="s">
        <v>57</v>
      </c>
      <c r="N12" s="82"/>
    </row>
    <row r="13" spans="1:14" ht="18" customHeight="1" x14ac:dyDescent="0.2">
      <c r="B13" s="3" t="s">
        <v>11</v>
      </c>
      <c r="C13" s="102" t="s">
        <v>12</v>
      </c>
      <c r="D13" s="103"/>
      <c r="E13" s="102" t="s">
        <v>13</v>
      </c>
      <c r="F13" s="103"/>
      <c r="G13" s="102" t="s">
        <v>14</v>
      </c>
      <c r="H13" s="103"/>
      <c r="I13" s="102" t="s">
        <v>15</v>
      </c>
      <c r="J13" s="104"/>
      <c r="K13" s="11"/>
      <c r="L13" s="17">
        <v>26</v>
      </c>
      <c r="M13" s="81" t="s">
        <v>62</v>
      </c>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v>6</v>
      </c>
      <c r="M16" s="107" t="s">
        <v>49</v>
      </c>
      <c r="N16" s="108"/>
    </row>
    <row r="17" spans="2:14" ht="18" customHeight="1" x14ac:dyDescent="0.2">
      <c r="B17" s="6"/>
      <c r="C17" s="53"/>
      <c r="D17" s="54"/>
      <c r="E17" s="53"/>
      <c r="F17" s="54"/>
      <c r="G17" s="53"/>
      <c r="H17" s="54"/>
      <c r="I17" s="55"/>
      <c r="J17" s="56"/>
      <c r="K17" s="106"/>
      <c r="L17" s="17">
        <v>13</v>
      </c>
      <c r="M17" s="81" t="s">
        <v>54</v>
      </c>
      <c r="N17" s="82"/>
    </row>
    <row r="18" spans="2:14" ht="18" customHeight="1" x14ac:dyDescent="0.2">
      <c r="B18" s="9"/>
      <c r="C18" s="67"/>
      <c r="D18" s="68"/>
      <c r="E18" s="67"/>
      <c r="F18" s="68"/>
      <c r="G18" s="67"/>
      <c r="H18" s="68"/>
      <c r="I18" s="67"/>
      <c r="J18" s="69"/>
      <c r="K18" s="106"/>
      <c r="L18" s="17">
        <v>20</v>
      </c>
      <c r="M18" s="81" t="s">
        <v>58</v>
      </c>
      <c r="N18" s="82"/>
    </row>
    <row r="19" spans="2:14" ht="18" customHeight="1" x14ac:dyDescent="0.2">
      <c r="B19" s="6"/>
      <c r="C19" s="53"/>
      <c r="D19" s="54"/>
      <c r="E19" s="53"/>
      <c r="F19" s="54"/>
      <c r="G19" s="53"/>
      <c r="H19" s="54"/>
      <c r="I19" s="55"/>
      <c r="J19" s="56"/>
      <c r="K19" s="11"/>
      <c r="L19" s="17">
        <v>27</v>
      </c>
      <c r="M19" s="81" t="s">
        <v>63</v>
      </c>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v>7</v>
      </c>
      <c r="M22" s="107" t="s">
        <v>50</v>
      </c>
      <c r="N22" s="108"/>
    </row>
    <row r="23" spans="2:14" ht="18" customHeight="1" x14ac:dyDescent="0.2">
      <c r="B23" s="6"/>
      <c r="C23" s="53"/>
      <c r="D23" s="54"/>
      <c r="E23" s="53"/>
      <c r="F23" s="54"/>
      <c r="G23" s="53"/>
      <c r="H23" s="54"/>
      <c r="I23" s="55"/>
      <c r="J23" s="56"/>
      <c r="K23" s="106"/>
      <c r="L23" s="17">
        <v>14</v>
      </c>
      <c r="M23" s="81" t="s">
        <v>56</v>
      </c>
      <c r="N23" s="82"/>
    </row>
    <row r="24" spans="2:14" ht="18" customHeight="1" x14ac:dyDescent="0.2">
      <c r="B24" s="8"/>
      <c r="C24" s="51"/>
      <c r="D24" s="57"/>
      <c r="E24" s="51"/>
      <c r="F24" s="57"/>
      <c r="G24" s="51"/>
      <c r="H24" s="57"/>
      <c r="I24" s="51"/>
      <c r="J24" s="52"/>
      <c r="K24" s="106"/>
      <c r="L24" s="17">
        <v>21</v>
      </c>
      <c r="M24" s="81" t="s">
        <v>59</v>
      </c>
      <c r="N24" s="82"/>
    </row>
    <row r="25" spans="2:14" ht="18" customHeight="1" x14ac:dyDescent="0.2">
      <c r="B25" s="6"/>
      <c r="C25" s="53"/>
      <c r="D25" s="54"/>
      <c r="E25" s="53"/>
      <c r="F25" s="54"/>
      <c r="G25" s="53"/>
      <c r="H25" s="54"/>
      <c r="I25" s="55"/>
      <c r="J25" s="56"/>
      <c r="K25" s="106"/>
      <c r="L25" s="17">
        <v>28</v>
      </c>
      <c r="M25" s="81" t="s">
        <v>64</v>
      </c>
      <c r="N25" s="82"/>
    </row>
    <row r="26" spans="2:14" ht="18" customHeight="1" x14ac:dyDescent="0.2">
      <c r="B26" s="8"/>
      <c r="C26" s="51"/>
      <c r="D26" s="57"/>
      <c r="E26" s="51"/>
      <c r="F26" s="57"/>
      <c r="G26" s="81"/>
      <c r="H26" s="82"/>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v>1</v>
      </c>
      <c r="M28" s="81" t="s">
        <v>52</v>
      </c>
      <c r="N28" s="82"/>
    </row>
    <row r="29" spans="2:14" ht="18" customHeight="1" x14ac:dyDescent="0.2">
      <c r="B29" s="6"/>
      <c r="C29" s="53"/>
      <c r="D29" s="54"/>
      <c r="E29" s="53"/>
      <c r="F29" s="54"/>
      <c r="G29" s="53"/>
      <c r="H29" s="54"/>
      <c r="I29" s="53"/>
      <c r="J29" s="74"/>
      <c r="K29" s="97"/>
      <c r="L29" s="17">
        <v>8</v>
      </c>
      <c r="M29" s="81" t="s">
        <v>51</v>
      </c>
      <c r="N29" s="82"/>
    </row>
    <row r="30" spans="2:14" ht="18" customHeight="1" x14ac:dyDescent="0.2">
      <c r="B30" s="8"/>
      <c r="C30" s="51"/>
      <c r="D30" s="57"/>
      <c r="E30" s="51"/>
      <c r="F30" s="57"/>
      <c r="G30" s="51"/>
      <c r="H30" s="57"/>
      <c r="I30" s="85"/>
      <c r="J30" s="86"/>
      <c r="K30" s="97"/>
      <c r="L30" s="17">
        <v>15</v>
      </c>
      <c r="M30" s="81" t="s">
        <v>55</v>
      </c>
      <c r="N30" s="82"/>
    </row>
    <row r="31" spans="2:14" ht="18" customHeight="1" x14ac:dyDescent="0.2">
      <c r="B31" s="6"/>
      <c r="C31" s="53"/>
      <c r="D31" s="54"/>
      <c r="E31" s="53"/>
      <c r="F31" s="54"/>
      <c r="G31" s="53"/>
      <c r="H31" s="54"/>
      <c r="I31" s="53"/>
      <c r="J31" s="74"/>
      <c r="K31" s="14"/>
      <c r="L31" s="17">
        <v>22</v>
      </c>
      <c r="M31" s="81" t="s">
        <v>60</v>
      </c>
      <c r="N31" s="82"/>
    </row>
    <row r="32" spans="2:14" ht="18" customHeight="1" x14ac:dyDescent="0.2">
      <c r="B32" s="8"/>
      <c r="C32" s="51"/>
      <c r="D32" s="57"/>
      <c r="E32" s="51"/>
      <c r="F32" s="57"/>
      <c r="G32" s="51"/>
      <c r="H32" s="57"/>
      <c r="I32" s="58"/>
      <c r="J32" s="59"/>
      <c r="K32" s="14"/>
      <c r="L32" s="17">
        <v>29</v>
      </c>
      <c r="M32" s="81" t="s">
        <v>65</v>
      </c>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9" priority="3" stopIfTrue="1">
      <formula>DAY(C4)&gt;8</formula>
    </cfRule>
  </conditionalFormatting>
  <conditionalFormatting sqref="C8:I10">
    <cfRule type="expression" dxfId="38" priority="2" stopIfTrue="1">
      <formula>AND(DAY(C8)&gt;=1,DAY(C8)&lt;=15)</formula>
    </cfRule>
  </conditionalFormatting>
  <conditionalFormatting sqref="C4:I9">
    <cfRule type="expression" dxfId="37" priority="4">
      <formula>VLOOKUP(DAY(C4),DíasDeTareas,1,FALSE)=DAY(C4)</formula>
    </cfRule>
  </conditionalFormatting>
  <conditionalFormatting sqref="B14:J25 B27:J33 B26:F26 I26:J26">
    <cfRule type="expression" dxfId="36" priority="1">
      <formula>B14&lt;&gt;""</formula>
    </cfRule>
  </conditionalFormatting>
  <printOptions horizontalCentered="1"/>
  <pageMargins left="0.5" right="0.5" top="0.5" bottom="0.5" header="0.3" footer="0.3"/>
  <pageSetup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2:G26"/>
  <sheetViews>
    <sheetView topLeftCell="A2" workbookViewId="0">
      <selection activeCell="H9" sqref="H9"/>
    </sheetView>
  </sheetViews>
  <sheetFormatPr baseColWidth="10" defaultRowHeight="12.75" x14ac:dyDescent="0.2"/>
  <sheetData>
    <row r="2" spans="1:7" x14ac:dyDescent="0.2">
      <c r="A2" s="113" t="s">
        <v>88</v>
      </c>
      <c r="B2" s="113"/>
      <c r="C2" s="113"/>
      <c r="D2" s="113"/>
      <c r="E2" s="113"/>
      <c r="F2" s="113"/>
      <c r="G2" s="113"/>
    </row>
    <row r="3" spans="1:7" x14ac:dyDescent="0.2">
      <c r="A3" s="113"/>
      <c r="B3" s="113"/>
      <c r="C3" s="113"/>
      <c r="D3" s="113"/>
      <c r="E3" s="113"/>
      <c r="F3" s="113"/>
      <c r="G3" s="113"/>
    </row>
    <row r="4" spans="1:7" x14ac:dyDescent="0.2">
      <c r="A4" s="114" t="s">
        <v>89</v>
      </c>
      <c r="B4" s="114"/>
      <c r="C4" s="114"/>
      <c r="D4" s="114"/>
      <c r="E4" s="114"/>
      <c r="F4" s="114"/>
      <c r="G4" s="114"/>
    </row>
    <row r="5" spans="1:7" x14ac:dyDescent="0.2">
      <c r="A5" s="114"/>
      <c r="B5" s="114"/>
      <c r="C5" s="114"/>
      <c r="D5" s="114"/>
      <c r="E5" s="114"/>
      <c r="F5" s="114"/>
      <c r="G5" s="114"/>
    </row>
    <row r="6" spans="1:7" x14ac:dyDescent="0.2">
      <c r="A6" s="114"/>
      <c r="B6" s="114"/>
      <c r="C6" s="114"/>
      <c r="D6" s="114"/>
      <c r="E6" s="114"/>
      <c r="F6" s="114"/>
      <c r="G6" s="114"/>
    </row>
    <row r="7" spans="1:7" x14ac:dyDescent="0.2">
      <c r="A7" s="114"/>
      <c r="B7" s="114"/>
      <c r="C7" s="114"/>
      <c r="D7" s="114"/>
      <c r="E7" s="114"/>
      <c r="F7" s="114"/>
      <c r="G7" s="114"/>
    </row>
    <row r="8" spans="1:7" x14ac:dyDescent="0.2">
      <c r="A8" s="114"/>
      <c r="B8" s="114"/>
      <c r="C8" s="114"/>
      <c r="D8" s="114"/>
      <c r="E8" s="114"/>
      <c r="F8" s="114"/>
      <c r="G8" s="114"/>
    </row>
    <row r="9" spans="1:7" x14ac:dyDescent="0.2">
      <c r="A9" s="114"/>
      <c r="B9" s="114"/>
      <c r="C9" s="114"/>
      <c r="D9" s="114"/>
      <c r="E9" s="114"/>
      <c r="F9" s="114"/>
      <c r="G9" s="114"/>
    </row>
    <row r="10" spans="1:7" x14ac:dyDescent="0.2">
      <c r="A10" s="114"/>
      <c r="B10" s="114"/>
      <c r="C10" s="114"/>
      <c r="D10" s="114"/>
      <c r="E10" s="114"/>
      <c r="F10" s="114"/>
      <c r="G10" s="114"/>
    </row>
    <row r="11" spans="1:7" x14ac:dyDescent="0.2">
      <c r="A11" s="114"/>
      <c r="B11" s="114"/>
      <c r="C11" s="114"/>
      <c r="D11" s="114"/>
      <c r="E11" s="114"/>
      <c r="F11" s="114"/>
      <c r="G11" s="114"/>
    </row>
    <row r="12" spans="1:7" x14ac:dyDescent="0.2">
      <c r="A12" s="114"/>
      <c r="B12" s="114"/>
      <c r="C12" s="114"/>
      <c r="D12" s="114"/>
      <c r="E12" s="114"/>
      <c r="F12" s="114"/>
      <c r="G12" s="114"/>
    </row>
    <row r="13" spans="1:7" x14ac:dyDescent="0.2">
      <c r="A13" s="114"/>
      <c r="B13" s="114"/>
      <c r="C13" s="114"/>
      <c r="D13" s="114"/>
      <c r="E13" s="114"/>
      <c r="F13" s="114"/>
      <c r="G13" s="114"/>
    </row>
    <row r="14" spans="1:7" x14ac:dyDescent="0.2">
      <c r="A14" s="114"/>
      <c r="B14" s="114"/>
      <c r="C14" s="114"/>
      <c r="D14" s="114"/>
      <c r="E14" s="114"/>
      <c r="F14" s="114"/>
      <c r="G14" s="114"/>
    </row>
    <row r="15" spans="1:7" x14ac:dyDescent="0.2">
      <c r="A15" s="114"/>
      <c r="B15" s="114"/>
      <c r="C15" s="114"/>
      <c r="D15" s="114"/>
      <c r="E15" s="114"/>
      <c r="F15" s="114"/>
      <c r="G15" s="114"/>
    </row>
    <row r="16" spans="1:7" x14ac:dyDescent="0.2">
      <c r="A16" s="114"/>
      <c r="B16" s="114"/>
      <c r="C16" s="114"/>
      <c r="D16" s="114"/>
      <c r="E16" s="114"/>
      <c r="F16" s="114"/>
      <c r="G16" s="114"/>
    </row>
    <row r="17" spans="1:7" x14ac:dyDescent="0.2">
      <c r="A17" s="114"/>
      <c r="B17" s="114"/>
      <c r="C17" s="114"/>
      <c r="D17" s="114"/>
      <c r="E17" s="114"/>
      <c r="F17" s="114"/>
      <c r="G17" s="114"/>
    </row>
    <row r="18" spans="1:7" x14ac:dyDescent="0.2">
      <c r="A18" s="114"/>
      <c r="B18" s="114"/>
      <c r="C18" s="114"/>
      <c r="D18" s="114"/>
      <c r="E18" s="114"/>
      <c r="F18" s="114"/>
      <c r="G18" s="114"/>
    </row>
    <row r="19" spans="1:7" x14ac:dyDescent="0.2">
      <c r="A19" s="114"/>
      <c r="B19" s="114"/>
      <c r="C19" s="114"/>
      <c r="D19" s="114"/>
      <c r="E19" s="114"/>
      <c r="F19" s="114"/>
      <c r="G19" s="114"/>
    </row>
    <row r="20" spans="1:7" x14ac:dyDescent="0.2">
      <c r="A20" s="114"/>
      <c r="B20" s="114"/>
      <c r="C20" s="114"/>
      <c r="D20" s="114"/>
      <c r="E20" s="114"/>
      <c r="F20" s="114"/>
      <c r="G20" s="114"/>
    </row>
    <row r="21" spans="1:7" x14ac:dyDescent="0.2">
      <c r="A21" s="114"/>
      <c r="B21" s="114"/>
      <c r="C21" s="114"/>
      <c r="D21" s="114"/>
      <c r="E21" s="114"/>
      <c r="F21" s="114"/>
      <c r="G21" s="114"/>
    </row>
    <row r="22" spans="1:7" x14ac:dyDescent="0.2">
      <c r="A22" s="114"/>
      <c r="B22" s="114"/>
      <c r="C22" s="114"/>
      <c r="D22" s="114"/>
      <c r="E22" s="114"/>
      <c r="F22" s="114"/>
      <c r="G22" s="114"/>
    </row>
    <row r="23" spans="1:7" x14ac:dyDescent="0.2">
      <c r="A23" s="114"/>
      <c r="B23" s="114"/>
      <c r="C23" s="114"/>
      <c r="D23" s="114"/>
      <c r="E23" s="114"/>
      <c r="F23" s="114"/>
      <c r="G23" s="114"/>
    </row>
    <row r="24" spans="1:7" x14ac:dyDescent="0.2">
      <c r="A24" s="114"/>
      <c r="B24" s="114"/>
      <c r="C24" s="114"/>
      <c r="D24" s="114"/>
      <c r="E24" s="114"/>
      <c r="F24" s="114"/>
      <c r="G24" s="114"/>
    </row>
    <row r="25" spans="1:7" x14ac:dyDescent="0.2">
      <c r="A25" s="114"/>
      <c r="B25" s="114"/>
      <c r="C25" s="114"/>
      <c r="D25" s="114"/>
      <c r="E25" s="114"/>
      <c r="F25" s="114"/>
      <c r="G25" s="114"/>
    </row>
    <row r="26" spans="1:7" x14ac:dyDescent="0.2">
      <c r="A26" s="114"/>
      <c r="B26" s="114"/>
      <c r="C26" s="114"/>
      <c r="D26" s="114"/>
      <c r="E26" s="114"/>
      <c r="F26" s="114"/>
      <c r="G26" s="114"/>
    </row>
  </sheetData>
  <mergeCells count="2">
    <mergeCell ref="A2:G3"/>
    <mergeCell ref="A4:G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K13" zoomScaleNormal="100" zoomScalePageLayoutView="84" workbookViewId="0">
      <selection activeCell="M28" sqref="M28:N28"/>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23</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IF(DAY(AbrDom1)=1,AbrDom1-6,AbrDom1+1)</f>
        <v>43556</v>
      </c>
      <c r="D4" s="10">
        <f>IF(DAY(AbrDom1)=1,AbrDom1-5,AbrDom1+2)</f>
        <v>43557</v>
      </c>
      <c r="E4" s="10">
        <f>IF(DAY(AbrDom1)=1,AbrDom1-4,AbrDom1+3)</f>
        <v>43558</v>
      </c>
      <c r="F4" s="10">
        <f>IF(DAY(AbrDom1)=1,AbrDom1-3,AbrDom1+4)</f>
        <v>43559</v>
      </c>
      <c r="G4" s="10">
        <f>IF(DAY(AbrDom1)=1,AbrDom1-2,AbrDom1+5)</f>
        <v>43560</v>
      </c>
      <c r="H4" s="10">
        <f>IF(DAY(AbrDom1)=1,AbrDom1-1,AbrDom1+6)</f>
        <v>43561</v>
      </c>
      <c r="I4" s="10">
        <f>IF(DAY(AbrDom1)=1,AbrDom1,AbrDom1+7)</f>
        <v>43562</v>
      </c>
      <c r="J4" s="5"/>
      <c r="K4" s="96" t="s">
        <v>11</v>
      </c>
      <c r="L4" s="16">
        <v>1</v>
      </c>
      <c r="M4" s="109" t="s">
        <v>90</v>
      </c>
      <c r="N4" s="110"/>
    </row>
    <row r="5" spans="1:14" ht="18" customHeight="1" x14ac:dyDescent="0.2">
      <c r="A5" s="4"/>
      <c r="B5" s="90"/>
      <c r="C5" s="10">
        <f>IF(DAY(AbrDom1)=1,AbrDom1+1,AbrDom1+8)</f>
        <v>43563</v>
      </c>
      <c r="D5" s="10">
        <f>IF(DAY(AbrDom1)=1,AbrDom1+2,AbrDom1+9)</f>
        <v>43564</v>
      </c>
      <c r="E5" s="10">
        <f>IF(DAY(AbrDom1)=1,AbrDom1+3,AbrDom1+10)</f>
        <v>43565</v>
      </c>
      <c r="F5" s="10">
        <f>IF(DAY(AbrDom1)=1,AbrDom1+4,AbrDom1+11)</f>
        <v>43566</v>
      </c>
      <c r="G5" s="10">
        <f>IF(DAY(AbrDom1)=1,AbrDom1+5,AbrDom1+12)</f>
        <v>43567</v>
      </c>
      <c r="H5" s="10">
        <f>IF(DAY(AbrDom1)=1,AbrDom1+6,AbrDom1+13)</f>
        <v>43568</v>
      </c>
      <c r="I5" s="10">
        <f>IF(DAY(AbrDom1)=1,AbrDom1+7,AbrDom1+14)</f>
        <v>43569</v>
      </c>
      <c r="J5" s="5"/>
      <c r="K5" s="97"/>
      <c r="L5" s="17">
        <v>8</v>
      </c>
      <c r="M5" s="81" t="s">
        <v>95</v>
      </c>
      <c r="N5" s="82"/>
    </row>
    <row r="6" spans="1:14" ht="18" customHeight="1" x14ac:dyDescent="0.2">
      <c r="A6" s="4"/>
      <c r="B6" s="90"/>
      <c r="C6" s="10">
        <f>IF(DAY(AbrDom1)=1,AbrDom1+8,AbrDom1+15)</f>
        <v>43570</v>
      </c>
      <c r="D6" s="10">
        <f>IF(DAY(AbrDom1)=1,AbrDom1+9,AbrDom1+16)</f>
        <v>43571</v>
      </c>
      <c r="E6" s="10">
        <f>IF(DAY(AbrDom1)=1,AbrDom1+10,AbrDom1+17)</f>
        <v>43572</v>
      </c>
      <c r="F6" s="10">
        <f>IF(DAY(AbrDom1)=1,AbrDom1+11,AbrDom1+18)</f>
        <v>43573</v>
      </c>
      <c r="G6" s="10">
        <f>IF(DAY(AbrDom1)=1,AbrDom1+12,AbrDom1+19)</f>
        <v>43574</v>
      </c>
      <c r="H6" s="10">
        <f>IF(DAY(AbrDom1)=1,AbrDom1+13,AbrDom1+20)</f>
        <v>43575</v>
      </c>
      <c r="I6" s="10">
        <f>IF(DAY(AbrDom1)=1,AbrDom1+14,AbrDom1+21)</f>
        <v>43576</v>
      </c>
      <c r="J6" s="5"/>
      <c r="K6" s="97"/>
      <c r="L6" s="17">
        <v>15</v>
      </c>
      <c r="M6" s="81" t="s">
        <v>99</v>
      </c>
      <c r="N6" s="82"/>
    </row>
    <row r="7" spans="1:14" ht="18" customHeight="1" x14ac:dyDescent="0.2">
      <c r="A7" s="4"/>
      <c r="B7" s="90"/>
      <c r="C7" s="10">
        <f>IF(DAY(AbrDom1)=1,AbrDom1+15,AbrDom1+22)</f>
        <v>43577</v>
      </c>
      <c r="D7" s="10">
        <f>IF(DAY(AbrDom1)=1,AbrDom1+16,AbrDom1+23)</f>
        <v>43578</v>
      </c>
      <c r="E7" s="10">
        <f>IF(DAY(AbrDom1)=1,AbrDom1+17,AbrDom1+24)</f>
        <v>43579</v>
      </c>
      <c r="F7" s="10">
        <f>IF(DAY(AbrDom1)=1,AbrDom1+18,AbrDom1+25)</f>
        <v>43580</v>
      </c>
      <c r="G7" s="10">
        <f>IF(DAY(AbrDom1)=1,AbrDom1+19,AbrDom1+26)</f>
        <v>43581</v>
      </c>
      <c r="H7" s="10">
        <f>IF(DAY(AbrDom1)=1,AbrDom1+20,AbrDom1+27)</f>
        <v>43582</v>
      </c>
      <c r="I7" s="10">
        <f>IF(DAY(AbrDom1)=1,AbrDom1+21,AbrDom1+28)</f>
        <v>43583</v>
      </c>
      <c r="J7" s="5"/>
      <c r="K7" s="11"/>
      <c r="L7" s="17">
        <v>22</v>
      </c>
      <c r="M7" s="81" t="s">
        <v>103</v>
      </c>
      <c r="N7" s="82"/>
    </row>
    <row r="8" spans="1:14" ht="18.75" customHeight="1" x14ac:dyDescent="0.2">
      <c r="A8" s="4"/>
      <c r="B8" s="90"/>
      <c r="C8" s="10">
        <f>IF(DAY(AbrDom1)=1,AbrDom1+22,AbrDom1+29)</f>
        <v>43584</v>
      </c>
      <c r="D8" s="10">
        <f>IF(DAY(AbrDom1)=1,AbrDom1+23,AbrDom1+30)</f>
        <v>43585</v>
      </c>
      <c r="E8" s="10">
        <f>IF(DAY(AbrDom1)=1,AbrDom1+24,AbrDom1+31)</f>
        <v>43586</v>
      </c>
      <c r="F8" s="10">
        <f>IF(DAY(AbrDom1)=1,AbrDom1+25,AbrDom1+32)</f>
        <v>43587</v>
      </c>
      <c r="G8" s="10">
        <f>IF(DAY(AbrDom1)=1,AbrDom1+26,AbrDom1+33)</f>
        <v>43588</v>
      </c>
      <c r="H8" s="10">
        <f>IF(DAY(AbrDom1)=1,AbrDom1+27,AbrDom1+34)</f>
        <v>43589</v>
      </c>
      <c r="I8" s="10">
        <f>IF(DAY(AbrDom1)=1,AbrDom1+28,AbrDom1+35)</f>
        <v>43590</v>
      </c>
      <c r="J8" s="5"/>
      <c r="K8" s="11"/>
      <c r="L8" s="17">
        <v>29</v>
      </c>
      <c r="M8" s="81" t="s">
        <v>90</v>
      </c>
      <c r="N8" s="82"/>
    </row>
    <row r="9" spans="1:14" ht="18" customHeight="1" x14ac:dyDescent="0.2">
      <c r="A9" s="4"/>
      <c r="B9" s="90"/>
      <c r="C9" s="10">
        <f>IF(DAY(AbrDom1)=1,AbrDom1+29,AbrDom1+36)</f>
        <v>43591</v>
      </c>
      <c r="D9" s="10">
        <f>IF(DAY(AbrDom1)=1,AbrDom1+30,AbrDom1+37)</f>
        <v>43592</v>
      </c>
      <c r="E9" s="10">
        <f>IF(DAY(AbrDom1)=1,AbrDom1+31,AbrDom1+38)</f>
        <v>43593</v>
      </c>
      <c r="F9" s="10">
        <f>IF(DAY(AbrDom1)=1,AbrDom1+32,AbrDom1+39)</f>
        <v>43594</v>
      </c>
      <c r="G9" s="10">
        <f>IF(DAY(AbrDom1)=1,AbrDom1+33,AbrDom1+40)</f>
        <v>43595</v>
      </c>
      <c r="H9" s="10">
        <f>IF(DAY(AbrDom1)=1,AbrDom1+34,AbrDom1+41)</f>
        <v>43596</v>
      </c>
      <c r="I9" s="10">
        <f>IF(DAY(AbrDom1)=1,AbrDom1+35,AbrDom1+42)</f>
        <v>43597</v>
      </c>
      <c r="J9" s="5"/>
      <c r="K9" s="12"/>
      <c r="L9" s="18"/>
      <c r="M9" s="111"/>
      <c r="N9" s="112"/>
    </row>
    <row r="10" spans="1:14" ht="18" customHeight="1" x14ac:dyDescent="0.2">
      <c r="A10" s="4"/>
      <c r="B10" s="91"/>
      <c r="C10" s="23"/>
      <c r="D10" s="23"/>
      <c r="E10" s="23"/>
      <c r="F10" s="23"/>
      <c r="G10" s="23"/>
      <c r="H10" s="23"/>
      <c r="I10" s="23"/>
      <c r="J10" s="24"/>
      <c r="K10" s="98" t="s">
        <v>12</v>
      </c>
      <c r="L10" s="16">
        <v>2</v>
      </c>
      <c r="M10" s="107" t="s">
        <v>91</v>
      </c>
      <c r="N10" s="108"/>
    </row>
    <row r="11" spans="1:14" ht="18" customHeight="1" x14ac:dyDescent="0.2">
      <c r="A11" s="4"/>
      <c r="B11" s="99" t="s">
        <v>10</v>
      </c>
      <c r="C11" s="100"/>
      <c r="D11" s="100"/>
      <c r="E11" s="100"/>
      <c r="F11" s="100"/>
      <c r="G11" s="100"/>
      <c r="H11" s="100"/>
      <c r="I11" s="100"/>
      <c r="J11" s="101"/>
      <c r="K11" s="97"/>
      <c r="L11" s="17">
        <v>9</v>
      </c>
      <c r="M11" s="81" t="s">
        <v>51</v>
      </c>
      <c r="N11" s="82"/>
    </row>
    <row r="12" spans="1:14" ht="18" customHeight="1" x14ac:dyDescent="0.2">
      <c r="A12" s="4"/>
      <c r="B12" s="99"/>
      <c r="C12" s="100"/>
      <c r="D12" s="100"/>
      <c r="E12" s="100"/>
      <c r="F12" s="100"/>
      <c r="G12" s="100"/>
      <c r="H12" s="100"/>
      <c r="I12" s="100"/>
      <c r="J12" s="101"/>
      <c r="K12" s="97"/>
      <c r="L12" s="17">
        <v>16</v>
      </c>
      <c r="M12" s="81" t="s">
        <v>100</v>
      </c>
      <c r="N12" s="82"/>
    </row>
    <row r="13" spans="1:14" ht="18" customHeight="1" x14ac:dyDescent="0.2">
      <c r="B13" s="3" t="s">
        <v>11</v>
      </c>
      <c r="C13" s="102" t="s">
        <v>12</v>
      </c>
      <c r="D13" s="103"/>
      <c r="E13" s="102" t="s">
        <v>13</v>
      </c>
      <c r="F13" s="103"/>
      <c r="G13" s="102" t="s">
        <v>14</v>
      </c>
      <c r="H13" s="103"/>
      <c r="I13" s="102" t="s">
        <v>15</v>
      </c>
      <c r="J13" s="104"/>
      <c r="K13" s="11"/>
      <c r="L13" s="17">
        <v>23</v>
      </c>
      <c r="M13" s="81" t="s">
        <v>106</v>
      </c>
      <c r="N13" s="82"/>
    </row>
    <row r="14" spans="1:14" ht="18" customHeight="1" x14ac:dyDescent="0.2">
      <c r="B14" s="8"/>
      <c r="C14" s="51"/>
      <c r="D14" s="57"/>
      <c r="E14" s="51"/>
      <c r="F14" s="57"/>
      <c r="G14" s="51"/>
      <c r="H14" s="57"/>
      <c r="I14" s="51"/>
      <c r="J14" s="52"/>
      <c r="K14" s="11"/>
      <c r="L14" s="17">
        <v>30</v>
      </c>
      <c r="M14" s="107" t="s">
        <v>92</v>
      </c>
      <c r="N14" s="108"/>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v>3</v>
      </c>
      <c r="M16" s="107" t="s">
        <v>92</v>
      </c>
      <c r="N16" s="108"/>
    </row>
    <row r="17" spans="2:14" ht="18" customHeight="1" x14ac:dyDescent="0.2">
      <c r="B17" s="6"/>
      <c r="C17" s="53"/>
      <c r="D17" s="54"/>
      <c r="E17" s="53"/>
      <c r="F17" s="54"/>
      <c r="G17" s="53"/>
      <c r="H17" s="54"/>
      <c r="I17" s="55"/>
      <c r="J17" s="56"/>
      <c r="K17" s="106"/>
      <c r="L17" s="17">
        <v>10</v>
      </c>
      <c r="M17" s="81" t="s">
        <v>96</v>
      </c>
      <c r="N17" s="82"/>
    </row>
    <row r="18" spans="2:14" ht="18" customHeight="1" x14ac:dyDescent="0.2">
      <c r="B18" s="9"/>
      <c r="C18" s="67"/>
      <c r="D18" s="68"/>
      <c r="E18" s="67"/>
      <c r="F18" s="68"/>
      <c r="G18" s="67"/>
      <c r="H18" s="68"/>
      <c r="I18" s="67"/>
      <c r="J18" s="69"/>
      <c r="K18" s="106"/>
      <c r="L18" s="17">
        <v>17</v>
      </c>
      <c r="M18" s="81" t="s">
        <v>101</v>
      </c>
      <c r="N18" s="82"/>
    </row>
    <row r="19" spans="2:14" ht="18" customHeight="1" x14ac:dyDescent="0.2">
      <c r="B19" s="6"/>
      <c r="C19" s="53"/>
      <c r="D19" s="54"/>
      <c r="E19" s="53"/>
      <c r="F19" s="54"/>
      <c r="G19" s="53"/>
      <c r="H19" s="54"/>
      <c r="I19" s="55"/>
      <c r="J19" s="56"/>
      <c r="K19" s="11"/>
      <c r="L19" s="17">
        <v>24</v>
      </c>
      <c r="M19" s="81" t="s">
        <v>104</v>
      </c>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v>4</v>
      </c>
      <c r="M22" s="107" t="s">
        <v>93</v>
      </c>
      <c r="N22" s="108"/>
    </row>
    <row r="23" spans="2:14" ht="18" customHeight="1" x14ac:dyDescent="0.2">
      <c r="B23" s="6"/>
      <c r="C23" s="53"/>
      <c r="D23" s="54"/>
      <c r="E23" s="53"/>
      <c r="F23" s="54"/>
      <c r="G23" s="53"/>
      <c r="H23" s="54"/>
      <c r="I23" s="55"/>
      <c r="J23" s="56"/>
      <c r="K23" s="106"/>
      <c r="L23" s="17">
        <v>11</v>
      </c>
      <c r="M23" s="81" t="s">
        <v>97</v>
      </c>
      <c r="N23" s="82"/>
    </row>
    <row r="24" spans="2:14" ht="18" customHeight="1" x14ac:dyDescent="0.2">
      <c r="B24" s="8"/>
      <c r="C24" s="51"/>
      <c r="D24" s="57"/>
      <c r="E24" s="51"/>
      <c r="F24" s="57"/>
      <c r="G24" s="51"/>
      <c r="H24" s="57"/>
      <c r="I24" s="51"/>
      <c r="J24" s="52"/>
      <c r="K24" s="106"/>
      <c r="L24" s="17">
        <v>18</v>
      </c>
      <c r="M24" s="81" t="s">
        <v>102</v>
      </c>
      <c r="N24" s="82"/>
    </row>
    <row r="25" spans="2:14" ht="18" customHeight="1" x14ac:dyDescent="0.2">
      <c r="B25" s="6"/>
      <c r="C25" s="53"/>
      <c r="D25" s="54"/>
      <c r="E25" s="53"/>
      <c r="F25" s="54"/>
      <c r="G25" s="53"/>
      <c r="H25" s="54"/>
      <c r="I25" s="55"/>
      <c r="J25" s="56"/>
      <c r="K25" s="106"/>
      <c r="L25" s="17">
        <v>25</v>
      </c>
      <c r="M25" s="81" t="s">
        <v>105</v>
      </c>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v>5</v>
      </c>
      <c r="M28" s="107" t="s">
        <v>94</v>
      </c>
      <c r="N28" s="108"/>
    </row>
    <row r="29" spans="2:14" ht="18" customHeight="1" x14ac:dyDescent="0.2">
      <c r="B29" s="6"/>
      <c r="C29" s="53"/>
      <c r="D29" s="54"/>
      <c r="E29" s="53"/>
      <c r="F29" s="54"/>
      <c r="G29" s="53"/>
      <c r="H29" s="54"/>
      <c r="I29" s="53"/>
      <c r="J29" s="74"/>
      <c r="K29" s="97"/>
      <c r="L29" s="17">
        <v>12</v>
      </c>
      <c r="M29" s="81" t="s">
        <v>98</v>
      </c>
      <c r="N29" s="82"/>
    </row>
    <row r="30" spans="2:14" ht="18" customHeight="1" x14ac:dyDescent="0.2">
      <c r="B30" s="8"/>
      <c r="C30" s="51"/>
      <c r="D30" s="57"/>
      <c r="E30" s="51"/>
      <c r="F30" s="57"/>
      <c r="G30" s="51"/>
      <c r="H30" s="57"/>
      <c r="I30" s="85"/>
      <c r="J30" s="86"/>
      <c r="K30" s="97"/>
      <c r="L30" s="17">
        <v>19</v>
      </c>
      <c r="M30" s="81" t="s">
        <v>59</v>
      </c>
      <c r="N30" s="82"/>
    </row>
    <row r="31" spans="2:14" ht="18" customHeight="1" x14ac:dyDescent="0.2">
      <c r="B31" s="6"/>
      <c r="C31" s="53"/>
      <c r="D31" s="54"/>
      <c r="E31" s="53"/>
      <c r="F31" s="54"/>
      <c r="G31" s="53"/>
      <c r="H31" s="54"/>
      <c r="I31" s="53"/>
      <c r="J31" s="74"/>
      <c r="K31" s="14"/>
      <c r="L31" s="17">
        <v>26</v>
      </c>
      <c r="M31" s="81" t="s">
        <v>104</v>
      </c>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5" priority="3" stopIfTrue="1">
      <formula>DAY(C4)&gt;8</formula>
    </cfRule>
  </conditionalFormatting>
  <conditionalFormatting sqref="C8:I10">
    <cfRule type="expression" dxfId="34" priority="2" stopIfTrue="1">
      <formula>AND(DAY(C8)&gt;=1,DAY(C8)&lt;=15)</formula>
    </cfRule>
  </conditionalFormatting>
  <conditionalFormatting sqref="C4:I9">
    <cfRule type="expression" dxfId="33" priority="4">
      <formula>VLOOKUP(DAY(C4),DíasDeTareas,1,FALSE)=DAY(C4)</formula>
    </cfRule>
  </conditionalFormatting>
  <conditionalFormatting sqref="B14:J33">
    <cfRule type="expression" dxfId="32" priority="1">
      <formula>B14&lt;&gt;""</formula>
    </cfRule>
  </conditionalFormatting>
  <printOptions horizontalCentered="1"/>
  <pageMargins left="0.5" right="0.5" top="0.5" bottom="0.5" header="0.3" footer="0.3"/>
  <pageSetup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1" sqref="M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22</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IF(DAY(MayDom1)=1,MayDom1-6,MayDom1+1)</f>
        <v>43584</v>
      </c>
      <c r="D4" s="10">
        <f>IF(DAY(MayDom1)=1,MayDom1-5,MayDom1+2)</f>
        <v>43585</v>
      </c>
      <c r="E4" s="10">
        <f>IF(DAY(MayDom1)=1,MayDom1-4,MayDom1+3)</f>
        <v>43586</v>
      </c>
      <c r="F4" s="10">
        <f>IF(DAY(MayDom1)=1,MayDom1-3,MayDom1+4)</f>
        <v>43587</v>
      </c>
      <c r="G4" s="10">
        <f>IF(DAY(MayDom1)=1,MayDom1-2,MayDom1+5)</f>
        <v>43588</v>
      </c>
      <c r="H4" s="10">
        <f>IF(DAY(MayDom1)=1,MayDom1-1,MayDom1+6)</f>
        <v>43589</v>
      </c>
      <c r="I4" s="10">
        <f>IF(DAY(MayDom1)=1,MayDom1,MayDom1+7)</f>
        <v>43590</v>
      </c>
      <c r="J4" s="5"/>
      <c r="K4" s="96" t="s">
        <v>11</v>
      </c>
      <c r="L4" s="16">
        <v>6</v>
      </c>
      <c r="M4" s="107" t="s">
        <v>94</v>
      </c>
      <c r="N4" s="108"/>
    </row>
    <row r="5" spans="1:14" ht="18" customHeight="1" x14ac:dyDescent="0.2">
      <c r="A5" s="4"/>
      <c r="B5" s="90"/>
      <c r="C5" s="10">
        <f>IF(DAY(MayDom1)=1,MayDom1+1,MayDom1+8)</f>
        <v>43591</v>
      </c>
      <c r="D5" s="10">
        <f>IF(DAY(MayDom1)=1,MayDom1+2,MayDom1+9)</f>
        <v>43592</v>
      </c>
      <c r="E5" s="10">
        <f>IF(DAY(MayDom1)=1,MayDom1+3,MayDom1+10)</f>
        <v>43593</v>
      </c>
      <c r="F5" s="10">
        <f>IF(DAY(MayDom1)=1,MayDom1+4,MayDom1+11)</f>
        <v>43594</v>
      </c>
      <c r="G5" s="10">
        <f>IF(DAY(MayDom1)=1,MayDom1+5,MayDom1+12)</f>
        <v>43595</v>
      </c>
      <c r="H5" s="10">
        <f>IF(DAY(MayDom1)=1,MayDom1+6,MayDom1+13)</f>
        <v>43596</v>
      </c>
      <c r="I5" s="10">
        <f>IF(DAY(MayDom1)=1,MayDom1+7,MayDom1+14)</f>
        <v>43597</v>
      </c>
      <c r="J5" s="5"/>
      <c r="K5" s="97"/>
      <c r="L5" s="17">
        <v>13</v>
      </c>
      <c r="M5" s="81" t="s">
        <v>120</v>
      </c>
      <c r="N5" s="82"/>
    </row>
    <row r="6" spans="1:14" ht="18" customHeight="1" x14ac:dyDescent="0.2">
      <c r="A6" s="4"/>
      <c r="B6" s="90"/>
      <c r="C6" s="10">
        <f>IF(DAY(MayDom1)=1,MayDom1+8,MayDom1+15)</f>
        <v>43598</v>
      </c>
      <c r="D6" s="10">
        <f>IF(DAY(MayDom1)=1,MayDom1+9,MayDom1+16)</f>
        <v>43599</v>
      </c>
      <c r="E6" s="10">
        <f>IF(DAY(MayDom1)=1,MayDom1+10,MayDom1+17)</f>
        <v>43600</v>
      </c>
      <c r="F6" s="10">
        <f>IF(DAY(MayDom1)=1,MayDom1+11,MayDom1+18)</f>
        <v>43601</v>
      </c>
      <c r="G6" s="10">
        <f>IF(DAY(MayDom1)=1,MayDom1+12,MayDom1+19)</f>
        <v>43602</v>
      </c>
      <c r="H6" s="10">
        <f>IF(DAY(MayDom1)=1,MayDom1+13,MayDom1+20)</f>
        <v>43603</v>
      </c>
      <c r="I6" s="10">
        <f>IF(DAY(MayDom1)=1,MayDom1+14,MayDom1+21)</f>
        <v>43604</v>
      </c>
      <c r="J6" s="5"/>
      <c r="K6" s="97"/>
      <c r="L6" s="17">
        <v>20</v>
      </c>
      <c r="M6" s="81" t="s">
        <v>115</v>
      </c>
      <c r="N6" s="82"/>
    </row>
    <row r="7" spans="1:14" ht="18" customHeight="1" x14ac:dyDescent="0.2">
      <c r="A7" s="4"/>
      <c r="B7" s="90"/>
      <c r="C7" s="10">
        <f>IF(DAY(MayDom1)=1,MayDom1+15,MayDom1+22)</f>
        <v>43605</v>
      </c>
      <c r="D7" s="10">
        <f>IF(DAY(MayDom1)=1,MayDom1+16,MayDom1+23)</f>
        <v>43606</v>
      </c>
      <c r="E7" s="10">
        <f>IF(DAY(MayDom1)=1,MayDom1+17,MayDom1+24)</f>
        <v>43607</v>
      </c>
      <c r="F7" s="10">
        <f>IF(DAY(MayDom1)=1,MayDom1+18,MayDom1+25)</f>
        <v>43608</v>
      </c>
      <c r="G7" s="10">
        <f>IF(DAY(MayDom1)=1,MayDom1+19,MayDom1+26)</f>
        <v>43609</v>
      </c>
      <c r="H7" s="10">
        <f>IF(DAY(MayDom1)=1,MayDom1+20,MayDom1+27)</f>
        <v>43610</v>
      </c>
      <c r="I7" s="10">
        <f>IF(DAY(MayDom1)=1,MayDom1+21,MayDom1+28)</f>
        <v>43611</v>
      </c>
      <c r="J7" s="5"/>
      <c r="K7" s="11"/>
      <c r="L7" s="17">
        <v>27</v>
      </c>
      <c r="M7" s="81" t="s">
        <v>113</v>
      </c>
      <c r="N7" s="82"/>
    </row>
    <row r="8" spans="1:14" ht="18.75" customHeight="1" x14ac:dyDescent="0.2">
      <c r="A8" s="4"/>
      <c r="B8" s="90"/>
      <c r="C8" s="10">
        <f>IF(DAY(MayDom1)=1,MayDom1+22,MayDom1+29)</f>
        <v>43612</v>
      </c>
      <c r="D8" s="10">
        <f>IF(DAY(MayDom1)=1,MayDom1+23,MayDom1+30)</f>
        <v>43613</v>
      </c>
      <c r="E8" s="10">
        <f>IF(DAY(MayDom1)=1,MayDom1+24,MayDom1+31)</f>
        <v>43614</v>
      </c>
      <c r="F8" s="10">
        <f>IF(DAY(MayDom1)=1,MayDom1+25,MayDom1+32)</f>
        <v>43615</v>
      </c>
      <c r="G8" s="10">
        <f>IF(DAY(MayDom1)=1,MayDom1+26,MayDom1+33)</f>
        <v>43616</v>
      </c>
      <c r="H8" s="10">
        <f>IF(DAY(MayDom1)=1,MayDom1+27,MayDom1+34)</f>
        <v>43617</v>
      </c>
      <c r="I8" s="10">
        <f>IF(DAY(MayDom1)=1,MayDom1+28,MayDom1+35)</f>
        <v>43618</v>
      </c>
      <c r="J8" s="5"/>
      <c r="K8" s="11"/>
      <c r="L8" s="17"/>
      <c r="M8" s="81"/>
      <c r="N8" s="82"/>
    </row>
    <row r="9" spans="1:14" ht="18" customHeight="1" x14ac:dyDescent="0.2">
      <c r="A9" s="4"/>
      <c r="B9" s="90"/>
      <c r="C9" s="10">
        <f>IF(DAY(MayDom1)=1,MayDom1+29,MayDom1+36)</f>
        <v>43619</v>
      </c>
      <c r="D9" s="10">
        <f>IF(DAY(MayDom1)=1,MayDom1+30,MayDom1+37)</f>
        <v>43620</v>
      </c>
      <c r="E9" s="10">
        <f>IF(DAY(MayDom1)=1,MayDom1+31,MayDom1+38)</f>
        <v>43621</v>
      </c>
      <c r="F9" s="10">
        <f>IF(DAY(MayDom1)=1,MayDom1+32,MayDom1+39)</f>
        <v>43622</v>
      </c>
      <c r="G9" s="10">
        <f>IF(DAY(MayDom1)=1,MayDom1+33,MayDom1+40)</f>
        <v>43623</v>
      </c>
      <c r="H9" s="10">
        <f>IF(DAY(MayDom1)=1,MayDom1+34,MayDom1+41)</f>
        <v>43624</v>
      </c>
      <c r="I9" s="10">
        <f>IF(DAY(MayDom1)=1,MayDom1+35,MayDom1+42)</f>
        <v>43625</v>
      </c>
      <c r="J9" s="5"/>
      <c r="K9" s="12"/>
      <c r="L9" s="18"/>
      <c r="M9" s="111"/>
      <c r="N9" s="112"/>
    </row>
    <row r="10" spans="1:14" ht="18" customHeight="1" x14ac:dyDescent="0.2">
      <c r="A10" s="4"/>
      <c r="B10" s="91"/>
      <c r="C10" s="23"/>
      <c r="D10" s="23"/>
      <c r="E10" s="23"/>
      <c r="F10" s="23"/>
      <c r="G10" s="23"/>
      <c r="H10" s="23"/>
      <c r="I10" s="23"/>
      <c r="J10" s="24"/>
      <c r="K10" s="98" t="s">
        <v>12</v>
      </c>
      <c r="L10" s="16">
        <v>7</v>
      </c>
      <c r="M10" s="107" t="s">
        <v>110</v>
      </c>
      <c r="N10" s="108"/>
    </row>
    <row r="11" spans="1:14" ht="18" customHeight="1" x14ac:dyDescent="0.2">
      <c r="A11" s="4"/>
      <c r="B11" s="99" t="s">
        <v>10</v>
      </c>
      <c r="C11" s="100"/>
      <c r="D11" s="100"/>
      <c r="E11" s="100"/>
      <c r="F11" s="100"/>
      <c r="G11" s="100"/>
      <c r="H11" s="100"/>
      <c r="I11" s="100"/>
      <c r="J11" s="101"/>
      <c r="K11" s="97"/>
      <c r="L11" s="17">
        <v>14</v>
      </c>
      <c r="M11" s="81" t="s">
        <v>116</v>
      </c>
      <c r="N11" s="82"/>
    </row>
    <row r="12" spans="1:14" ht="18" customHeight="1" x14ac:dyDescent="0.2">
      <c r="A12" s="4"/>
      <c r="B12" s="99"/>
      <c r="C12" s="100"/>
      <c r="D12" s="100"/>
      <c r="E12" s="100"/>
      <c r="F12" s="100"/>
      <c r="G12" s="100"/>
      <c r="H12" s="100"/>
      <c r="I12" s="100"/>
      <c r="J12" s="101"/>
      <c r="K12" s="97"/>
      <c r="L12" s="17">
        <v>21</v>
      </c>
      <c r="M12" s="81" t="s">
        <v>117</v>
      </c>
      <c r="N12" s="82"/>
    </row>
    <row r="13" spans="1:14" ht="18" customHeight="1" x14ac:dyDescent="0.2">
      <c r="B13" s="3" t="s">
        <v>11</v>
      </c>
      <c r="C13" s="102" t="s">
        <v>12</v>
      </c>
      <c r="D13" s="103"/>
      <c r="E13" s="102" t="s">
        <v>13</v>
      </c>
      <c r="F13" s="103"/>
      <c r="G13" s="102" t="s">
        <v>14</v>
      </c>
      <c r="H13" s="103"/>
      <c r="I13" s="102" t="s">
        <v>15</v>
      </c>
      <c r="J13" s="104"/>
      <c r="K13" s="11"/>
      <c r="L13" s="17">
        <v>28</v>
      </c>
      <c r="M13" s="81" t="s">
        <v>118</v>
      </c>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v>1</v>
      </c>
      <c r="M16" s="107" t="s">
        <v>26</v>
      </c>
      <c r="N16" s="108"/>
    </row>
    <row r="17" spans="2:14" ht="18" customHeight="1" x14ac:dyDescent="0.2">
      <c r="B17" s="6"/>
      <c r="C17" s="53"/>
      <c r="D17" s="54"/>
      <c r="E17" s="53"/>
      <c r="F17" s="54"/>
      <c r="G17" s="53"/>
      <c r="H17" s="54"/>
      <c r="I17" s="55"/>
      <c r="J17" s="56"/>
      <c r="K17" s="106"/>
      <c r="L17" s="17">
        <v>8</v>
      </c>
      <c r="M17" s="81" t="s">
        <v>114</v>
      </c>
      <c r="N17" s="82"/>
    </row>
    <row r="18" spans="2:14" ht="18" customHeight="1" x14ac:dyDescent="0.2">
      <c r="B18" s="9"/>
      <c r="C18" s="67"/>
      <c r="D18" s="68"/>
      <c r="E18" s="67"/>
      <c r="F18" s="68"/>
      <c r="G18" s="67"/>
      <c r="H18" s="68"/>
      <c r="I18" s="67"/>
      <c r="J18" s="69"/>
      <c r="K18" s="106"/>
      <c r="L18" s="17">
        <v>15</v>
      </c>
      <c r="M18" s="81" t="s">
        <v>111</v>
      </c>
      <c r="N18" s="82"/>
    </row>
    <row r="19" spans="2:14" ht="18" customHeight="1" x14ac:dyDescent="0.2">
      <c r="B19" s="6"/>
      <c r="C19" s="53"/>
      <c r="D19" s="54"/>
      <c r="E19" s="53"/>
      <c r="F19" s="54"/>
      <c r="G19" s="53"/>
      <c r="H19" s="54"/>
      <c r="I19" s="55"/>
      <c r="J19" s="56"/>
      <c r="K19" s="11"/>
      <c r="L19" s="17">
        <v>22</v>
      </c>
      <c r="M19" s="81" t="s">
        <v>119</v>
      </c>
      <c r="N19" s="82"/>
    </row>
    <row r="20" spans="2:14" ht="18" customHeight="1" x14ac:dyDescent="0.2">
      <c r="B20" s="8"/>
      <c r="C20" s="51"/>
      <c r="D20" s="57"/>
      <c r="E20" s="51"/>
      <c r="F20" s="57"/>
      <c r="G20" s="51"/>
      <c r="H20" s="57"/>
      <c r="I20" s="51"/>
      <c r="J20" s="52"/>
      <c r="K20" s="11"/>
      <c r="L20" s="17">
        <v>29</v>
      </c>
      <c r="M20" s="81" t="s">
        <v>114</v>
      </c>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v>2</v>
      </c>
      <c r="M22" s="81" t="s">
        <v>119</v>
      </c>
      <c r="N22" s="82"/>
    </row>
    <row r="23" spans="2:14" ht="18" customHeight="1" x14ac:dyDescent="0.2">
      <c r="B23" s="6"/>
      <c r="C23" s="53"/>
      <c r="D23" s="54"/>
      <c r="E23" s="53"/>
      <c r="F23" s="54"/>
      <c r="G23" s="53"/>
      <c r="H23" s="54"/>
      <c r="I23" s="55"/>
      <c r="J23" s="56"/>
      <c r="K23" s="106"/>
      <c r="L23" s="17">
        <v>9</v>
      </c>
      <c r="M23" s="81" t="s">
        <v>114</v>
      </c>
      <c r="N23" s="82"/>
    </row>
    <row r="24" spans="2:14" ht="18" customHeight="1" x14ac:dyDescent="0.2">
      <c r="B24" s="8"/>
      <c r="C24" s="51"/>
      <c r="D24" s="57"/>
      <c r="E24" s="51"/>
      <c r="F24" s="57"/>
      <c r="G24" s="51"/>
      <c r="H24" s="57"/>
      <c r="I24" s="51"/>
      <c r="J24" s="52"/>
      <c r="K24" s="106"/>
      <c r="L24" s="17">
        <v>16</v>
      </c>
      <c r="M24" s="81" t="s">
        <v>121</v>
      </c>
      <c r="N24" s="82"/>
    </row>
    <row r="25" spans="2:14" ht="18" customHeight="1" x14ac:dyDescent="0.2">
      <c r="B25" s="6"/>
      <c r="C25" s="53"/>
      <c r="D25" s="54"/>
      <c r="E25" s="53"/>
      <c r="F25" s="54"/>
      <c r="G25" s="53"/>
      <c r="H25" s="54"/>
      <c r="I25" s="55"/>
      <c r="J25" s="56"/>
      <c r="K25" s="106"/>
      <c r="L25" s="17">
        <v>23</v>
      </c>
      <c r="M25" s="81" t="s">
        <v>108</v>
      </c>
      <c r="N25" s="82"/>
    </row>
    <row r="26" spans="2:14" ht="18" customHeight="1" x14ac:dyDescent="0.2">
      <c r="B26" s="8"/>
      <c r="C26" s="51"/>
      <c r="D26" s="57"/>
      <c r="E26" s="51"/>
      <c r="F26" s="57"/>
      <c r="G26" s="51"/>
      <c r="H26" s="57"/>
      <c r="I26" s="51"/>
      <c r="J26" s="52"/>
      <c r="K26" s="11"/>
      <c r="L26" s="17">
        <v>30</v>
      </c>
      <c r="M26" s="81" t="s">
        <v>107</v>
      </c>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v>3</v>
      </c>
      <c r="M28" s="81" t="s">
        <v>117</v>
      </c>
      <c r="N28" s="82"/>
    </row>
    <row r="29" spans="2:14" ht="18" customHeight="1" x14ac:dyDescent="0.2">
      <c r="B29" s="6"/>
      <c r="C29" s="53"/>
      <c r="D29" s="54"/>
      <c r="E29" s="53"/>
      <c r="F29" s="54"/>
      <c r="G29" s="53"/>
      <c r="H29" s="54"/>
      <c r="I29" s="53"/>
      <c r="J29" s="74"/>
      <c r="K29" s="97"/>
      <c r="L29" s="17">
        <v>10</v>
      </c>
      <c r="M29" s="81" t="s">
        <v>122</v>
      </c>
      <c r="N29" s="82"/>
    </row>
    <row r="30" spans="2:14" ht="18" customHeight="1" x14ac:dyDescent="0.2">
      <c r="B30" s="8"/>
      <c r="C30" s="51"/>
      <c r="D30" s="57"/>
      <c r="E30" s="51"/>
      <c r="F30" s="57"/>
      <c r="G30" s="51"/>
      <c r="H30" s="57"/>
      <c r="I30" s="85"/>
      <c r="J30" s="86"/>
      <c r="K30" s="97"/>
      <c r="L30" s="17">
        <v>17</v>
      </c>
      <c r="M30" s="81" t="s">
        <v>109</v>
      </c>
      <c r="N30" s="82"/>
    </row>
    <row r="31" spans="2:14" ht="18" customHeight="1" x14ac:dyDescent="0.2">
      <c r="B31" s="6"/>
      <c r="C31" s="53"/>
      <c r="D31" s="54"/>
      <c r="E31" s="53"/>
      <c r="F31" s="54"/>
      <c r="G31" s="53"/>
      <c r="H31" s="54"/>
      <c r="I31" s="53"/>
      <c r="J31" s="74"/>
      <c r="K31" s="14"/>
      <c r="L31" s="17">
        <v>24</v>
      </c>
      <c r="M31" s="81" t="s">
        <v>112</v>
      </c>
      <c r="N31" s="82"/>
    </row>
    <row r="32" spans="2:14" ht="18" customHeight="1" x14ac:dyDescent="0.2">
      <c r="B32" s="8"/>
      <c r="C32" s="51"/>
      <c r="D32" s="57"/>
      <c r="E32" s="51"/>
      <c r="F32" s="57"/>
      <c r="G32" s="51"/>
      <c r="H32" s="57"/>
      <c r="I32" s="58"/>
      <c r="J32" s="59"/>
      <c r="K32" s="14"/>
      <c r="L32" s="17">
        <v>31</v>
      </c>
      <c r="M32" s="81" t="s">
        <v>122</v>
      </c>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1" priority="3" stopIfTrue="1">
      <formula>DAY(C4)&gt;8</formula>
    </cfRule>
  </conditionalFormatting>
  <conditionalFormatting sqref="C8:I10">
    <cfRule type="expression" dxfId="30" priority="2" stopIfTrue="1">
      <formula>AND(DAY(C8)&gt;=1,DAY(C8)&lt;=15)</formula>
    </cfRule>
  </conditionalFormatting>
  <conditionalFormatting sqref="C4:I9">
    <cfRule type="expression" dxfId="29" priority="4">
      <formula>VLOOKUP(DAY(C4),DíasDeTareas,1,FALSE)=DAY(C4)</formula>
    </cfRule>
  </conditionalFormatting>
  <conditionalFormatting sqref="B14:J33">
    <cfRule type="expression" dxfId="28" priority="1">
      <formula>B14&lt;&gt;""</formula>
    </cfRule>
  </conditionalFormatting>
  <printOptions horizontalCentered="1"/>
  <pageMargins left="0.5" right="0.5" top="0.5" bottom="0.5" header="0.3" footer="0.3"/>
  <pageSetup scale="6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abSelected="1" topLeftCell="A7" zoomScaleNormal="100" zoomScalePageLayoutView="84" workbookViewId="0">
      <selection activeCell="M32" sqref="M32:N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21</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IF(DAY(JunDom1)=1,JunDom1-6,JunDom1+1)</f>
        <v>43612</v>
      </c>
      <c r="D4" s="10">
        <f>IF(DAY(JunDom1)=1,JunDom1-5,JunDom1+2)</f>
        <v>43613</v>
      </c>
      <c r="E4" s="10">
        <f>IF(DAY(JunDom1)=1,JunDom1-4,JunDom1+3)</f>
        <v>43614</v>
      </c>
      <c r="F4" s="10">
        <f>IF(DAY(JunDom1)=1,JunDom1-3,JunDom1+4)</f>
        <v>43615</v>
      </c>
      <c r="G4" s="10">
        <f>IF(DAY(JunDom1)=1,JunDom1-2,JunDom1+5)</f>
        <v>43616</v>
      </c>
      <c r="H4" s="10">
        <f>IF(DAY(JunDom1)=1,JunDom1-1,JunDom1+6)</f>
        <v>43617</v>
      </c>
      <c r="I4" s="10">
        <f>IF(DAY(JunDom1)=1,JunDom1,JunDom1+7)</f>
        <v>43618</v>
      </c>
      <c r="J4" s="5"/>
      <c r="K4" s="96" t="s">
        <v>11</v>
      </c>
      <c r="L4" s="16">
        <v>3</v>
      </c>
      <c r="M4" s="109" t="s">
        <v>127</v>
      </c>
      <c r="N4" s="110"/>
    </row>
    <row r="5" spans="1:14" ht="18" customHeight="1" x14ac:dyDescent="0.2">
      <c r="A5" s="4"/>
      <c r="B5" s="90"/>
      <c r="C5" s="10">
        <f>IF(DAY(JunDom1)=1,JunDom1+1,JunDom1+8)</f>
        <v>43619</v>
      </c>
      <c r="D5" s="10">
        <f>IF(DAY(JunDom1)=1,JunDom1+2,JunDom1+9)</f>
        <v>43620</v>
      </c>
      <c r="E5" s="10">
        <f>IF(DAY(JunDom1)=1,JunDom1+3,JunDom1+10)</f>
        <v>43621</v>
      </c>
      <c r="F5" s="10">
        <f>IF(DAY(JunDom1)=1,JunDom1+4,JunDom1+11)</f>
        <v>43622</v>
      </c>
      <c r="G5" s="10">
        <f>IF(DAY(JunDom1)=1,JunDom1+5,JunDom1+12)</f>
        <v>43623</v>
      </c>
      <c r="H5" s="10">
        <f>IF(DAY(JunDom1)=1,JunDom1+6,JunDom1+13)</f>
        <v>43624</v>
      </c>
      <c r="I5" s="10">
        <f>IF(DAY(JunDom1)=1,JunDom1+7,JunDom1+14)</f>
        <v>43625</v>
      </c>
      <c r="J5" s="5"/>
      <c r="K5" s="97"/>
      <c r="L5" s="17">
        <v>10</v>
      </c>
      <c r="M5" s="81" t="s">
        <v>128</v>
      </c>
      <c r="N5" s="82"/>
    </row>
    <row r="6" spans="1:14" ht="18" customHeight="1" x14ac:dyDescent="0.2">
      <c r="A6" s="4"/>
      <c r="B6" s="90"/>
      <c r="C6" s="10">
        <f>IF(DAY(JunDom1)=1,JunDom1+8,JunDom1+15)</f>
        <v>43626</v>
      </c>
      <c r="D6" s="10">
        <f>IF(DAY(JunDom1)=1,JunDom1+9,JunDom1+16)</f>
        <v>43627</v>
      </c>
      <c r="E6" s="10">
        <f>IF(DAY(JunDom1)=1,JunDom1+10,JunDom1+17)</f>
        <v>43628</v>
      </c>
      <c r="F6" s="10">
        <f>IF(DAY(JunDom1)=1,JunDom1+11,JunDom1+18)</f>
        <v>43629</v>
      </c>
      <c r="G6" s="10">
        <f>IF(DAY(JunDom1)=1,JunDom1+12,JunDom1+19)</f>
        <v>43630</v>
      </c>
      <c r="H6" s="10">
        <f>IF(DAY(JunDom1)=1,JunDom1+13,JunDom1+20)</f>
        <v>43631</v>
      </c>
      <c r="I6" s="10">
        <f>IF(DAY(JunDom1)=1,JunDom1+14,JunDom1+21)</f>
        <v>43632</v>
      </c>
      <c r="J6" s="5"/>
      <c r="K6" s="97"/>
      <c r="L6" s="17">
        <v>17</v>
      </c>
      <c r="M6" s="81" t="s">
        <v>133</v>
      </c>
      <c r="N6" s="82"/>
    </row>
    <row r="7" spans="1:14" ht="18" customHeight="1" x14ac:dyDescent="0.2">
      <c r="A7" s="4"/>
      <c r="B7" s="90"/>
      <c r="C7" s="10">
        <f>IF(DAY(JunDom1)=1,JunDom1+15,JunDom1+22)</f>
        <v>43633</v>
      </c>
      <c r="D7" s="10">
        <f>IF(DAY(JunDom1)=1,JunDom1+16,JunDom1+23)</f>
        <v>43634</v>
      </c>
      <c r="E7" s="10">
        <f>IF(DAY(JunDom1)=1,JunDom1+17,JunDom1+24)</f>
        <v>43635</v>
      </c>
      <c r="F7" s="10">
        <f>IF(DAY(JunDom1)=1,JunDom1+18,JunDom1+25)</f>
        <v>43636</v>
      </c>
      <c r="G7" s="10">
        <f>IF(DAY(JunDom1)=1,JunDom1+19,JunDom1+26)</f>
        <v>43637</v>
      </c>
      <c r="H7" s="10">
        <f>IF(DAY(JunDom1)=1,JunDom1+20,JunDom1+27)</f>
        <v>43638</v>
      </c>
      <c r="I7" s="10">
        <f>IF(DAY(JunDom1)=1,JunDom1+21,JunDom1+28)</f>
        <v>43639</v>
      </c>
      <c r="J7" s="5"/>
      <c r="K7" s="11"/>
      <c r="L7" s="17">
        <v>24</v>
      </c>
      <c r="M7" s="81" t="s">
        <v>138</v>
      </c>
      <c r="N7" s="82"/>
    </row>
    <row r="8" spans="1:14" ht="18.75" customHeight="1" x14ac:dyDescent="0.2">
      <c r="A8" s="4"/>
      <c r="B8" s="90"/>
      <c r="C8" s="10">
        <f>IF(DAY(JunDom1)=1,JunDom1+22,JunDom1+29)</f>
        <v>43640</v>
      </c>
      <c r="D8" s="10">
        <f>IF(DAY(JunDom1)=1,JunDom1+23,JunDom1+30)</f>
        <v>43641</v>
      </c>
      <c r="E8" s="10">
        <f>IF(DAY(JunDom1)=1,JunDom1+24,JunDom1+31)</f>
        <v>43642</v>
      </c>
      <c r="F8" s="10">
        <f>IF(DAY(JunDom1)=1,JunDom1+25,JunDom1+32)</f>
        <v>43643</v>
      </c>
      <c r="G8" s="10">
        <f>IF(DAY(JunDom1)=1,JunDom1+26,JunDom1+33)</f>
        <v>43644</v>
      </c>
      <c r="H8" s="10">
        <f>IF(DAY(JunDom1)=1,JunDom1+27,JunDom1+34)</f>
        <v>43645</v>
      </c>
      <c r="I8" s="10">
        <f>IF(DAY(JunDom1)=1,JunDom1+28,JunDom1+35)</f>
        <v>43646</v>
      </c>
      <c r="J8" s="5"/>
      <c r="K8" s="11"/>
      <c r="L8" s="17"/>
      <c r="M8" s="81"/>
      <c r="N8" s="82"/>
    </row>
    <row r="9" spans="1:14" ht="18" customHeight="1" x14ac:dyDescent="0.2">
      <c r="A9" s="4"/>
      <c r="B9" s="90"/>
      <c r="C9" s="10">
        <f>IF(DAY(JunDom1)=1,JunDom1+29,JunDom1+36)</f>
        <v>43647</v>
      </c>
      <c r="D9" s="10">
        <f>IF(DAY(JunDom1)=1,JunDom1+30,JunDom1+37)</f>
        <v>43648</v>
      </c>
      <c r="E9" s="10">
        <f>IF(DAY(JunDom1)=1,JunDom1+31,JunDom1+38)</f>
        <v>43649</v>
      </c>
      <c r="F9" s="10">
        <f>IF(DAY(JunDom1)=1,JunDom1+32,JunDom1+39)</f>
        <v>43650</v>
      </c>
      <c r="G9" s="10">
        <f>IF(DAY(JunDom1)=1,JunDom1+33,JunDom1+40)</f>
        <v>43651</v>
      </c>
      <c r="H9" s="10">
        <f>IF(DAY(JunDom1)=1,JunDom1+34,JunDom1+41)</f>
        <v>43652</v>
      </c>
      <c r="I9" s="10">
        <f>IF(DAY(JunDom1)=1,JunDom1+35,JunDom1+42)</f>
        <v>43653</v>
      </c>
      <c r="J9" s="5"/>
      <c r="K9" s="12"/>
      <c r="L9" s="18"/>
      <c r="M9" s="111"/>
      <c r="N9" s="112"/>
    </row>
    <row r="10" spans="1:14" ht="18" customHeight="1" x14ac:dyDescent="0.2">
      <c r="A10" s="4"/>
      <c r="B10" s="91"/>
      <c r="C10" s="23"/>
      <c r="D10" s="23"/>
      <c r="E10" s="23"/>
      <c r="F10" s="23"/>
      <c r="G10" s="23"/>
      <c r="H10" s="23"/>
      <c r="I10" s="23"/>
      <c r="J10" s="24"/>
      <c r="K10" s="98" t="s">
        <v>12</v>
      </c>
      <c r="L10" s="16">
        <v>4</v>
      </c>
      <c r="M10" s="107" t="s">
        <v>123</v>
      </c>
      <c r="N10" s="108"/>
    </row>
    <row r="11" spans="1:14" ht="18" customHeight="1" x14ac:dyDescent="0.2">
      <c r="A11" s="4"/>
      <c r="B11" s="99" t="s">
        <v>10</v>
      </c>
      <c r="C11" s="100"/>
      <c r="D11" s="100"/>
      <c r="E11" s="100"/>
      <c r="F11" s="100"/>
      <c r="G11" s="100"/>
      <c r="H11" s="100"/>
      <c r="I11" s="100"/>
      <c r="J11" s="101"/>
      <c r="K11" s="97"/>
      <c r="L11" s="17">
        <v>11</v>
      </c>
      <c r="M11" s="81" t="s">
        <v>129</v>
      </c>
      <c r="N11" s="82"/>
    </row>
    <row r="12" spans="1:14" ht="18" customHeight="1" x14ac:dyDescent="0.2">
      <c r="A12" s="4"/>
      <c r="B12" s="99"/>
      <c r="C12" s="100"/>
      <c r="D12" s="100"/>
      <c r="E12" s="100"/>
      <c r="F12" s="100"/>
      <c r="G12" s="100"/>
      <c r="H12" s="100"/>
      <c r="I12" s="100"/>
      <c r="J12" s="101"/>
      <c r="K12" s="97"/>
      <c r="L12" s="17">
        <v>18</v>
      </c>
      <c r="M12" s="81" t="s">
        <v>134</v>
      </c>
      <c r="N12" s="82"/>
    </row>
    <row r="13" spans="1:14" ht="18" customHeight="1" x14ac:dyDescent="0.2">
      <c r="B13" s="3" t="s">
        <v>11</v>
      </c>
      <c r="C13" s="102" t="s">
        <v>12</v>
      </c>
      <c r="D13" s="103"/>
      <c r="E13" s="102" t="s">
        <v>13</v>
      </c>
      <c r="F13" s="103"/>
      <c r="G13" s="102" t="s">
        <v>14</v>
      </c>
      <c r="H13" s="103"/>
      <c r="I13" s="102" t="s">
        <v>15</v>
      </c>
      <c r="J13" s="104"/>
      <c r="K13" s="11"/>
      <c r="L13" s="17">
        <v>25</v>
      </c>
      <c r="M13" s="81" t="s">
        <v>139</v>
      </c>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v>5</v>
      </c>
      <c r="M16" s="107" t="s">
        <v>124</v>
      </c>
      <c r="N16" s="108"/>
    </row>
    <row r="17" spans="2:14" ht="18" customHeight="1" x14ac:dyDescent="0.2">
      <c r="B17" s="6"/>
      <c r="C17" s="53"/>
      <c r="D17" s="54"/>
      <c r="E17" s="53"/>
      <c r="F17" s="54"/>
      <c r="G17" s="53"/>
      <c r="H17" s="54"/>
      <c r="I17" s="55"/>
      <c r="J17" s="56"/>
      <c r="K17" s="106"/>
      <c r="L17" s="17">
        <v>12</v>
      </c>
      <c r="M17" s="81" t="s">
        <v>130</v>
      </c>
      <c r="N17" s="82"/>
    </row>
    <row r="18" spans="2:14" ht="18" customHeight="1" x14ac:dyDescent="0.2">
      <c r="B18" s="9"/>
      <c r="C18" s="67"/>
      <c r="D18" s="68"/>
      <c r="E18" s="67"/>
      <c r="F18" s="68"/>
      <c r="G18" s="67"/>
      <c r="H18" s="68"/>
      <c r="I18" s="67"/>
      <c r="J18" s="69"/>
      <c r="K18" s="106"/>
      <c r="L18" s="17">
        <v>19</v>
      </c>
      <c r="M18" s="81" t="s">
        <v>135</v>
      </c>
      <c r="N18" s="82"/>
    </row>
    <row r="19" spans="2:14" ht="18" customHeight="1" x14ac:dyDescent="0.2">
      <c r="B19" s="6"/>
      <c r="C19" s="53"/>
      <c r="D19" s="54"/>
      <c r="E19" s="53"/>
      <c r="F19" s="54"/>
      <c r="G19" s="53"/>
      <c r="H19" s="54"/>
      <c r="I19" s="55"/>
      <c r="J19" s="56"/>
      <c r="K19" s="11"/>
      <c r="L19" s="17">
        <v>26</v>
      </c>
      <c r="M19" s="81" t="s">
        <v>140</v>
      </c>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v>6</v>
      </c>
      <c r="M22" s="107" t="s">
        <v>125</v>
      </c>
      <c r="N22" s="108"/>
    </row>
    <row r="23" spans="2:14" ht="18" customHeight="1" x14ac:dyDescent="0.2">
      <c r="B23" s="6"/>
      <c r="C23" s="53"/>
      <c r="D23" s="54"/>
      <c r="E23" s="53"/>
      <c r="F23" s="54"/>
      <c r="G23" s="53"/>
      <c r="H23" s="54"/>
      <c r="I23" s="55"/>
      <c r="J23" s="56"/>
      <c r="K23" s="106"/>
      <c r="L23" s="17">
        <v>13</v>
      </c>
      <c r="M23" s="81" t="s">
        <v>131</v>
      </c>
      <c r="N23" s="82"/>
    </row>
    <row r="24" spans="2:14" ht="18" customHeight="1" x14ac:dyDescent="0.2">
      <c r="B24" s="8"/>
      <c r="C24" s="51"/>
      <c r="D24" s="57"/>
      <c r="E24" s="51"/>
      <c r="F24" s="57"/>
      <c r="G24" s="51"/>
      <c r="H24" s="57"/>
      <c r="I24" s="51"/>
      <c r="J24" s="52"/>
      <c r="K24" s="106"/>
      <c r="L24" s="17">
        <v>20</v>
      </c>
      <c r="M24" s="81" t="s">
        <v>136</v>
      </c>
      <c r="N24" s="82"/>
    </row>
    <row r="25" spans="2:14" ht="18" customHeight="1" x14ac:dyDescent="0.2">
      <c r="B25" s="6"/>
      <c r="C25" s="53"/>
      <c r="D25" s="54"/>
      <c r="E25" s="53"/>
      <c r="F25" s="54"/>
      <c r="G25" s="53"/>
      <c r="H25" s="54"/>
      <c r="I25" s="55"/>
      <c r="J25" s="56"/>
      <c r="K25" s="106"/>
      <c r="L25" s="17">
        <v>27</v>
      </c>
      <c r="M25" s="81" t="s">
        <v>141</v>
      </c>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v>7</v>
      </c>
      <c r="M28" s="107" t="s">
        <v>126</v>
      </c>
      <c r="N28" s="108"/>
    </row>
    <row r="29" spans="2:14" ht="18" customHeight="1" x14ac:dyDescent="0.2">
      <c r="B29" s="6"/>
      <c r="C29" s="53"/>
      <c r="D29" s="54"/>
      <c r="E29" s="53"/>
      <c r="F29" s="54"/>
      <c r="G29" s="53"/>
      <c r="H29" s="54"/>
      <c r="I29" s="53"/>
      <c r="J29" s="74"/>
      <c r="K29" s="97"/>
      <c r="L29" s="17">
        <v>14</v>
      </c>
      <c r="M29" s="81" t="s">
        <v>132</v>
      </c>
      <c r="N29" s="82"/>
    </row>
    <row r="30" spans="2:14" ht="18" customHeight="1" x14ac:dyDescent="0.2">
      <c r="B30" s="8"/>
      <c r="C30" s="51"/>
      <c r="D30" s="57"/>
      <c r="E30" s="51"/>
      <c r="F30" s="57"/>
      <c r="G30" s="51"/>
      <c r="H30" s="57"/>
      <c r="I30" s="85"/>
      <c r="J30" s="86"/>
      <c r="K30" s="97"/>
      <c r="L30" s="17">
        <v>21</v>
      </c>
      <c r="M30" s="81" t="s">
        <v>137</v>
      </c>
      <c r="N30" s="82"/>
    </row>
    <row r="31" spans="2:14" ht="18" customHeight="1" x14ac:dyDescent="0.2">
      <c r="B31" s="6"/>
      <c r="C31" s="53"/>
      <c r="D31" s="54"/>
      <c r="E31" s="53"/>
      <c r="F31" s="54"/>
      <c r="G31" s="53"/>
      <c r="H31" s="54"/>
      <c r="I31" s="53"/>
      <c r="J31" s="74"/>
      <c r="K31" s="14"/>
      <c r="L31" s="17">
        <v>28</v>
      </c>
      <c r="M31" s="81" t="s">
        <v>142</v>
      </c>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27" priority="3" stopIfTrue="1">
      <formula>DAY(C4)&gt;8</formula>
    </cfRule>
  </conditionalFormatting>
  <conditionalFormatting sqref="C8:I10">
    <cfRule type="expression" dxfId="26" priority="2" stopIfTrue="1">
      <formula>AND(DAY(C8)&gt;=1,DAY(C8)&lt;=15)</formula>
    </cfRule>
  </conditionalFormatting>
  <conditionalFormatting sqref="C4:I9">
    <cfRule type="expression" dxfId="25" priority="4">
      <formula>VLOOKUP(DAY(C4),DíasDeTareas,1,FALSE)=DAY(C4)</formula>
    </cfRule>
  </conditionalFormatting>
  <conditionalFormatting sqref="B14:J33">
    <cfRule type="expression" dxfId="24" priority="1">
      <formula>B14&lt;&gt;""</formula>
    </cfRule>
  </conditionalFormatting>
  <printOptions horizontalCentered="1"/>
  <pageMargins left="0.5" right="0.5" top="0.5" bottom="0.5" header="0.3" footer="0.3"/>
  <pageSetup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20</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IF(DAY(JulDom1)=1,JulDom1-6,JulDom1+1)</f>
        <v>43647</v>
      </c>
      <c r="D4" s="10">
        <f>IF(DAY(JulDom1)=1,JulDom1-5,JulDom1+2)</f>
        <v>43648</v>
      </c>
      <c r="E4" s="10">
        <f>IF(DAY(JulDom1)=1,JulDom1-4,JulDom1+3)</f>
        <v>43649</v>
      </c>
      <c r="F4" s="10">
        <f>IF(DAY(JulDom1)=1,JulDom1-3,JulDom1+4)</f>
        <v>43650</v>
      </c>
      <c r="G4" s="10">
        <f>IF(DAY(JulDom1)=1,JulDom1-2,JulDom1+5)</f>
        <v>43651</v>
      </c>
      <c r="H4" s="10">
        <f>IF(DAY(JulDom1)=1,JulDom1-1,JulDom1+6)</f>
        <v>43652</v>
      </c>
      <c r="I4" s="10">
        <f>IF(DAY(JulDom1)=1,JulDom1,JulDom1+7)</f>
        <v>43653</v>
      </c>
      <c r="J4" s="5"/>
      <c r="K4" s="96" t="s">
        <v>11</v>
      </c>
      <c r="L4" s="16"/>
      <c r="M4" s="109"/>
      <c r="N4" s="110"/>
    </row>
    <row r="5" spans="1:14" ht="18" customHeight="1" x14ac:dyDescent="0.2">
      <c r="A5" s="4"/>
      <c r="B5" s="90"/>
      <c r="C5" s="10">
        <f>IF(DAY(JulDom1)=1,JulDom1+1,JulDom1+8)</f>
        <v>43654</v>
      </c>
      <c r="D5" s="10">
        <f>IF(DAY(JulDom1)=1,JulDom1+2,JulDom1+9)</f>
        <v>43655</v>
      </c>
      <c r="E5" s="10">
        <f>IF(DAY(JulDom1)=1,JulDom1+3,JulDom1+10)</f>
        <v>43656</v>
      </c>
      <c r="F5" s="10">
        <f>IF(DAY(JulDom1)=1,JulDom1+4,JulDom1+11)</f>
        <v>43657</v>
      </c>
      <c r="G5" s="10">
        <f>IF(DAY(JulDom1)=1,JulDom1+5,JulDom1+12)</f>
        <v>43658</v>
      </c>
      <c r="H5" s="10">
        <f>IF(DAY(JulDom1)=1,JulDom1+6,JulDom1+13)</f>
        <v>43659</v>
      </c>
      <c r="I5" s="10">
        <f>IF(DAY(JulDom1)=1,JulDom1+7,JulDom1+14)</f>
        <v>43660</v>
      </c>
      <c r="J5" s="5"/>
      <c r="K5" s="97"/>
      <c r="L5" s="17"/>
      <c r="M5" s="81"/>
      <c r="N5" s="82"/>
    </row>
    <row r="6" spans="1:14" ht="18" customHeight="1" x14ac:dyDescent="0.2">
      <c r="A6" s="4"/>
      <c r="B6" s="90"/>
      <c r="C6" s="10">
        <f>IF(DAY(JulDom1)=1,JulDom1+8,JulDom1+15)</f>
        <v>43661</v>
      </c>
      <c r="D6" s="10">
        <f>IF(DAY(JulDom1)=1,JulDom1+9,JulDom1+16)</f>
        <v>43662</v>
      </c>
      <c r="E6" s="10">
        <f>IF(DAY(JulDom1)=1,JulDom1+10,JulDom1+17)</f>
        <v>43663</v>
      </c>
      <c r="F6" s="10">
        <f>IF(DAY(JulDom1)=1,JulDom1+11,JulDom1+18)</f>
        <v>43664</v>
      </c>
      <c r="G6" s="10">
        <f>IF(DAY(JulDom1)=1,JulDom1+12,JulDom1+19)</f>
        <v>43665</v>
      </c>
      <c r="H6" s="10">
        <f>IF(DAY(JulDom1)=1,JulDom1+13,JulDom1+20)</f>
        <v>43666</v>
      </c>
      <c r="I6" s="10">
        <f>IF(DAY(JulDom1)=1,JulDom1+14,JulDom1+21)</f>
        <v>43667</v>
      </c>
      <c r="J6" s="5"/>
      <c r="K6" s="97"/>
      <c r="L6" s="17"/>
      <c r="M6" s="81"/>
      <c r="N6" s="82"/>
    </row>
    <row r="7" spans="1:14" ht="18" customHeight="1" x14ac:dyDescent="0.2">
      <c r="A7" s="4"/>
      <c r="B7" s="90"/>
      <c r="C7" s="10">
        <f>IF(DAY(JulDom1)=1,JulDom1+15,JulDom1+22)</f>
        <v>43668</v>
      </c>
      <c r="D7" s="10">
        <f>IF(DAY(JulDom1)=1,JulDom1+16,JulDom1+23)</f>
        <v>43669</v>
      </c>
      <c r="E7" s="10">
        <f>IF(DAY(JulDom1)=1,JulDom1+17,JulDom1+24)</f>
        <v>43670</v>
      </c>
      <c r="F7" s="10">
        <f>IF(DAY(JulDom1)=1,JulDom1+18,JulDom1+25)</f>
        <v>43671</v>
      </c>
      <c r="G7" s="10">
        <f>IF(DAY(JulDom1)=1,JulDom1+19,JulDom1+26)</f>
        <v>43672</v>
      </c>
      <c r="H7" s="10">
        <f>IF(DAY(JulDom1)=1,JulDom1+20,JulDom1+27)</f>
        <v>43673</v>
      </c>
      <c r="I7" s="10">
        <f>IF(DAY(JulDom1)=1,JulDom1+21,JulDom1+28)</f>
        <v>43674</v>
      </c>
      <c r="J7" s="5"/>
      <c r="K7" s="11"/>
      <c r="L7" s="17"/>
      <c r="M7" s="81"/>
      <c r="N7" s="82"/>
    </row>
    <row r="8" spans="1:14" ht="18.75" customHeight="1" x14ac:dyDescent="0.2">
      <c r="A8" s="4"/>
      <c r="B8" s="90"/>
      <c r="C8" s="10">
        <f>IF(DAY(JulDom1)=1,JulDom1+22,JulDom1+29)</f>
        <v>43675</v>
      </c>
      <c r="D8" s="10">
        <f>IF(DAY(JulDom1)=1,JulDom1+23,JulDom1+30)</f>
        <v>43676</v>
      </c>
      <c r="E8" s="10">
        <f>IF(DAY(JulDom1)=1,JulDom1+24,JulDom1+31)</f>
        <v>43677</v>
      </c>
      <c r="F8" s="10">
        <f>IF(DAY(JulDom1)=1,JulDom1+25,JulDom1+32)</f>
        <v>43678</v>
      </c>
      <c r="G8" s="10">
        <f>IF(DAY(JulDom1)=1,JulDom1+26,JulDom1+33)</f>
        <v>43679</v>
      </c>
      <c r="H8" s="10">
        <f>IF(DAY(JulDom1)=1,JulDom1+27,JulDom1+34)</f>
        <v>43680</v>
      </c>
      <c r="I8" s="10">
        <f>IF(DAY(JulDom1)=1,JulDom1+28,JulDom1+35)</f>
        <v>43681</v>
      </c>
      <c r="J8" s="5"/>
      <c r="K8" s="11"/>
      <c r="L8" s="17"/>
      <c r="M8" s="81"/>
      <c r="N8" s="82"/>
    </row>
    <row r="9" spans="1:14" ht="18" customHeight="1" x14ac:dyDescent="0.2">
      <c r="A9" s="4"/>
      <c r="B9" s="90"/>
      <c r="C9" s="10">
        <f>IF(DAY(JulDom1)=1,JulDom1+29,JulDom1+36)</f>
        <v>43682</v>
      </c>
      <c r="D9" s="10">
        <f>IF(DAY(JulDom1)=1,JulDom1+30,JulDom1+37)</f>
        <v>43683</v>
      </c>
      <c r="E9" s="10">
        <f>IF(DAY(JulDom1)=1,JulDom1+31,JulDom1+38)</f>
        <v>43684</v>
      </c>
      <c r="F9" s="10">
        <f>IF(DAY(JulDom1)=1,JulDom1+32,JulDom1+39)</f>
        <v>43685</v>
      </c>
      <c r="G9" s="10">
        <f>IF(DAY(JulDom1)=1,JulDom1+33,JulDom1+40)</f>
        <v>43686</v>
      </c>
      <c r="H9" s="10">
        <f>IF(DAY(JulDom1)=1,JulDom1+34,JulDom1+41)</f>
        <v>43687</v>
      </c>
      <c r="I9" s="10">
        <f>IF(DAY(JulDom1)=1,JulDom1+35,JulDom1+42)</f>
        <v>43688</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23" priority="3" stopIfTrue="1">
      <formula>DAY(C4)&gt;8</formula>
    </cfRule>
  </conditionalFormatting>
  <conditionalFormatting sqref="C8:I10">
    <cfRule type="expression" dxfId="22" priority="2" stopIfTrue="1">
      <formula>AND(DAY(C8)&gt;=1,DAY(C8)&lt;=15)</formula>
    </cfRule>
  </conditionalFormatting>
  <conditionalFormatting sqref="C4:I9">
    <cfRule type="expression" dxfId="21" priority="4">
      <formula>VLOOKUP(DAY(C4),DíasDeTareas,1,FALSE)=DAY(C4)</formula>
    </cfRule>
  </conditionalFormatting>
  <conditionalFormatting sqref="B14:J33">
    <cfRule type="expression" dxfId="20" priority="1">
      <formula>B14&lt;&gt;""</formula>
    </cfRule>
  </conditionalFormatting>
  <printOptions horizontalCentered="1"/>
  <pageMargins left="0.5" right="0.5" top="0.5" bottom="0.5" header="0.3" footer="0.3"/>
  <pageSetup scale="6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R4" sqref="R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c r="A1" s="2"/>
      <c r="B1" s="2"/>
      <c r="C1" s="2"/>
      <c r="D1" s="2"/>
      <c r="E1" s="2"/>
      <c r="F1" s="2"/>
      <c r="G1" s="2"/>
    </row>
    <row r="2" spans="1:14" ht="18" customHeight="1" x14ac:dyDescent="0.2">
      <c r="A2" s="4"/>
      <c r="B2" s="89" t="s">
        <v>19</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IF(DAY(AgoDom1)=1,AgoDom1-6,AgoDom1+1)</f>
        <v>43675</v>
      </c>
      <c r="D4" s="10">
        <f>IF(DAY(AgoDom1)=1,AgoDom1-5,AgoDom1+2)</f>
        <v>43676</v>
      </c>
      <c r="E4" s="10">
        <f>IF(DAY(AgoDom1)=1,AgoDom1-4,AgoDom1+3)</f>
        <v>43677</v>
      </c>
      <c r="F4" s="10">
        <f>IF(DAY(AgoDom1)=1,AgoDom1-3,AgoDom1+4)</f>
        <v>43678</v>
      </c>
      <c r="G4" s="10">
        <f>IF(DAY(AgoDom1)=1,AgoDom1-2,AgoDom1+5)</f>
        <v>43679</v>
      </c>
      <c r="H4" s="10">
        <f>IF(DAY(AgoDom1)=1,AgoDom1-1,AgoDom1+6)</f>
        <v>43680</v>
      </c>
      <c r="I4" s="10">
        <f>IF(DAY(AgoDom1)=1,AgoDom1,AgoDom1+7)</f>
        <v>43681</v>
      </c>
      <c r="J4" s="5"/>
      <c r="K4" s="96" t="s">
        <v>11</v>
      </c>
      <c r="L4" s="16"/>
      <c r="M4" s="109"/>
      <c r="N4" s="110"/>
    </row>
    <row r="5" spans="1:14" ht="18" customHeight="1" x14ac:dyDescent="0.2">
      <c r="A5" s="4"/>
      <c r="B5" s="90"/>
      <c r="C5" s="10">
        <f>IF(DAY(AgoDom1)=1,AgoDom1+1,AgoDom1+8)</f>
        <v>43682</v>
      </c>
      <c r="D5" s="10">
        <f>IF(DAY(AgoDom1)=1,AgoDom1+2,AgoDom1+9)</f>
        <v>43683</v>
      </c>
      <c r="E5" s="10">
        <f>IF(DAY(AgoDom1)=1,AgoDom1+3,AgoDom1+10)</f>
        <v>43684</v>
      </c>
      <c r="F5" s="10">
        <f>IF(DAY(AgoDom1)=1,AgoDom1+4,AgoDom1+11)</f>
        <v>43685</v>
      </c>
      <c r="G5" s="10">
        <f>IF(DAY(AgoDom1)=1,AgoDom1+5,AgoDom1+12)</f>
        <v>43686</v>
      </c>
      <c r="H5" s="10">
        <f>IF(DAY(AgoDom1)=1,AgoDom1+6,AgoDom1+13)</f>
        <v>43687</v>
      </c>
      <c r="I5" s="10">
        <f>IF(DAY(AgoDom1)=1,AgoDom1+7,AgoDom1+14)</f>
        <v>43688</v>
      </c>
      <c r="J5" s="5"/>
      <c r="K5" s="97"/>
      <c r="L5" s="17"/>
      <c r="M5" s="81"/>
      <c r="N5" s="82"/>
    </row>
    <row r="6" spans="1:14" ht="18" customHeight="1" x14ac:dyDescent="0.2">
      <c r="A6" s="4"/>
      <c r="B6" s="90"/>
      <c r="C6" s="10">
        <f>IF(DAY(AgoDom1)=1,AgoDom1+8,AgoDom1+15)</f>
        <v>43689</v>
      </c>
      <c r="D6" s="10">
        <f>IF(DAY(AgoDom1)=1,AgoDom1+9,AgoDom1+16)</f>
        <v>43690</v>
      </c>
      <c r="E6" s="10">
        <f>IF(DAY(AgoDom1)=1,AgoDom1+10,AgoDom1+17)</f>
        <v>43691</v>
      </c>
      <c r="F6" s="10">
        <f>IF(DAY(AgoDom1)=1,AgoDom1+11,AgoDom1+18)</f>
        <v>43692</v>
      </c>
      <c r="G6" s="10">
        <f>IF(DAY(AgoDom1)=1,AgoDom1+12,AgoDom1+19)</f>
        <v>43693</v>
      </c>
      <c r="H6" s="10">
        <f>IF(DAY(AgoDom1)=1,AgoDom1+13,AgoDom1+20)</f>
        <v>43694</v>
      </c>
      <c r="I6" s="10">
        <f>IF(DAY(AgoDom1)=1,AgoDom1+14,AgoDom1+21)</f>
        <v>43695</v>
      </c>
      <c r="J6" s="5"/>
      <c r="K6" s="97"/>
      <c r="L6" s="17"/>
      <c r="M6" s="81"/>
      <c r="N6" s="82"/>
    </row>
    <row r="7" spans="1:14" ht="18" customHeight="1" x14ac:dyDescent="0.2">
      <c r="A7" s="4"/>
      <c r="B7" s="90"/>
      <c r="C7" s="10">
        <f>IF(DAY(AgoDom1)=1,AgoDom1+15,AgoDom1+22)</f>
        <v>43696</v>
      </c>
      <c r="D7" s="10">
        <f>IF(DAY(AgoDom1)=1,AgoDom1+16,AgoDom1+23)</f>
        <v>43697</v>
      </c>
      <c r="E7" s="10">
        <f>IF(DAY(AgoDom1)=1,AgoDom1+17,AgoDom1+24)</f>
        <v>43698</v>
      </c>
      <c r="F7" s="10">
        <f>IF(DAY(AgoDom1)=1,AgoDom1+18,AgoDom1+25)</f>
        <v>43699</v>
      </c>
      <c r="G7" s="10">
        <f>IF(DAY(AgoDom1)=1,AgoDom1+19,AgoDom1+26)</f>
        <v>43700</v>
      </c>
      <c r="H7" s="10">
        <f>IF(DAY(AgoDom1)=1,AgoDom1+20,AgoDom1+27)</f>
        <v>43701</v>
      </c>
      <c r="I7" s="10">
        <f>IF(DAY(AgoDom1)=1,AgoDom1+21,AgoDom1+28)</f>
        <v>43702</v>
      </c>
      <c r="J7" s="5"/>
      <c r="K7" s="11"/>
      <c r="L7" s="17"/>
      <c r="M7" s="81"/>
      <c r="N7" s="82"/>
    </row>
    <row r="8" spans="1:14" ht="18.75" customHeight="1" x14ac:dyDescent="0.2">
      <c r="A8" s="4"/>
      <c r="B8" s="90"/>
      <c r="C8" s="10">
        <f>IF(DAY(AgoDom1)=1,AgoDom1+22,AgoDom1+29)</f>
        <v>43703</v>
      </c>
      <c r="D8" s="10">
        <f>IF(DAY(AgoDom1)=1,AgoDom1+23,AgoDom1+30)</f>
        <v>43704</v>
      </c>
      <c r="E8" s="10">
        <f>IF(DAY(AgoDom1)=1,AgoDom1+24,AgoDom1+31)</f>
        <v>43705</v>
      </c>
      <c r="F8" s="10">
        <f>IF(DAY(AgoDom1)=1,AgoDom1+25,AgoDom1+32)</f>
        <v>43706</v>
      </c>
      <c r="G8" s="10">
        <f>IF(DAY(AgoDom1)=1,AgoDom1+26,AgoDom1+33)</f>
        <v>43707</v>
      </c>
      <c r="H8" s="10">
        <f>IF(DAY(AgoDom1)=1,AgoDom1+27,AgoDom1+34)</f>
        <v>43708</v>
      </c>
      <c r="I8" s="10">
        <f>IF(DAY(AgoDom1)=1,AgoDom1+28,AgoDom1+35)</f>
        <v>43709</v>
      </c>
      <c r="J8" s="5"/>
      <c r="K8" s="11"/>
      <c r="L8" s="17"/>
      <c r="M8" s="81"/>
      <c r="N8" s="82"/>
    </row>
    <row r="9" spans="1:14" ht="18" customHeight="1" x14ac:dyDescent="0.2">
      <c r="A9" s="4"/>
      <c r="B9" s="90"/>
      <c r="C9" s="10">
        <f>IF(DAY(AgoDom1)=1,AgoDom1+29,AgoDom1+36)</f>
        <v>43710</v>
      </c>
      <c r="D9" s="10">
        <f>IF(DAY(AgoDom1)=1,AgoDom1+30,AgoDom1+37)</f>
        <v>43711</v>
      </c>
      <c r="E9" s="10">
        <f>IF(DAY(AgoDom1)=1,AgoDom1+31,AgoDom1+38)</f>
        <v>43712</v>
      </c>
      <c r="F9" s="10">
        <f>IF(DAY(AgoDom1)=1,AgoDom1+32,AgoDom1+39)</f>
        <v>43713</v>
      </c>
      <c r="G9" s="10">
        <f>IF(DAY(AgoDom1)=1,AgoDom1+33,AgoDom1+40)</f>
        <v>43714</v>
      </c>
      <c r="H9" s="10">
        <f>IF(DAY(AgoDom1)=1,AgoDom1+34,AgoDom1+41)</f>
        <v>43715</v>
      </c>
      <c r="I9" s="10">
        <f>IF(DAY(AgoDom1)=1,AgoDom1+35,AgoDom1+42)</f>
        <v>43716</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19" priority="3" stopIfTrue="1">
      <formula>DAY(C4)&gt;8</formula>
    </cfRule>
  </conditionalFormatting>
  <conditionalFormatting sqref="C8:I10">
    <cfRule type="expression" dxfId="18" priority="2" stopIfTrue="1">
      <formula>AND(DAY(C8)&gt;=1,DAY(C8)&lt;=15)</formula>
    </cfRule>
  </conditionalFormatting>
  <conditionalFormatting sqref="C4:I9">
    <cfRule type="expression" dxfId="17" priority="4">
      <formula>VLOOKUP(DAY(C4),DíasDeTareas,1,FALSE)=DAY(C4)</formula>
    </cfRule>
  </conditionalFormatting>
  <conditionalFormatting sqref="B14:J33">
    <cfRule type="expression" dxfId="16" priority="1">
      <formula>B14&lt;&gt;""</formula>
    </cfRule>
  </conditionalFormatting>
  <printOptions horizontalCentered="1"/>
  <pageMargins left="0.5" right="0.5" top="0.5" bottom="0.5" header="0.3" footer="0.3"/>
  <pageSetup scale="6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642A2AB2-C96A-4F1D-A896-B2666E5A2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37</vt:i4>
      </vt:variant>
    </vt:vector>
  </HeadingPairs>
  <TitlesOfParts>
    <vt:vector size="50" baseType="lpstr">
      <vt:lpstr>Enero</vt:lpstr>
      <vt:lpstr>Febrero</vt:lpstr>
      <vt:lpstr>Marzo</vt:lpstr>
      <vt:lpstr>INFORME TRIMESTRAL</vt:lpstr>
      <vt:lpstr>Abril</vt:lpstr>
      <vt:lpstr>Mayo</vt:lpstr>
      <vt:lpstr>Junio</vt:lpstr>
      <vt:lpstr>Julio</vt:lpstr>
      <vt:lpstr>Agosto</vt:lpstr>
      <vt:lpstr>Septiembre</vt:lpstr>
      <vt:lpstr>Octubre</vt:lpstr>
      <vt:lpstr>Noviembre</vt:lpstr>
      <vt:lpstr>Diciembre</vt:lpstr>
      <vt:lpstr>Año_Calendario</vt:lpstr>
      <vt:lpstr>Abril!Área_de_impresión</vt:lpstr>
      <vt:lpstr>Agosto!Área_de_impresión</vt:lpstr>
      <vt:lpstr>Diciembre!Área_de_impresión</vt:lpstr>
      <vt:lpstr>Enero!Área_de_impresión</vt:lpstr>
      <vt:lpstr>Febrero!Área_de_impresión</vt:lpstr>
      <vt:lpstr>Julio!Área_de_impresión</vt:lpstr>
      <vt:lpstr>Junio!Área_de_impresión</vt:lpstr>
      <vt:lpstr>Marzo!Área_de_impresión</vt:lpstr>
      <vt:lpstr>Mayo!Área_de_impresión</vt:lpstr>
      <vt:lpstr>Noviembre!Área_de_impresión</vt:lpstr>
      <vt:lpstr>Octubre!Área_de_impresión</vt:lpstr>
      <vt:lpstr>Septiembre!Área_de_impresión</vt:lpstr>
      <vt:lpstr>Abril!DíasDeTareas</vt:lpstr>
      <vt:lpstr>Agosto!DíasDeTareas</vt:lpstr>
      <vt:lpstr>Diciembre!DíasDeTareas</vt:lpstr>
      <vt:lpstr>Febrero!DíasDeTareas</vt:lpstr>
      <vt:lpstr>Julio!DíasDeTareas</vt:lpstr>
      <vt:lpstr>Junio!DíasDeTareas</vt:lpstr>
      <vt:lpstr>Marzo!DíasDeTareas</vt:lpstr>
      <vt:lpstr>Mayo!DíasDeTareas</vt:lpstr>
      <vt:lpstr>Noviembre!DíasDeTareas</vt:lpstr>
      <vt:lpstr>Octubre!DíasDeTareas</vt:lpstr>
      <vt:lpstr>Septiembre!DíasDeTareas</vt:lpstr>
      <vt:lpstr>DíasDeTareas</vt:lpstr>
      <vt:lpstr>Abril!TablaFechasImportantes</vt:lpstr>
      <vt:lpstr>Agosto!TablaFechasImportantes</vt:lpstr>
      <vt:lpstr>Diciembre!TablaFechasImportantes</vt:lpstr>
      <vt:lpstr>Febrero!TablaFechasImportantes</vt:lpstr>
      <vt:lpstr>Julio!TablaFechasImportantes</vt:lpstr>
      <vt:lpstr>Junio!TablaFechasImportantes</vt:lpstr>
      <vt:lpstr>Marzo!TablaFechasImportantes</vt:lpstr>
      <vt:lpstr>Mayo!TablaFechasImportantes</vt:lpstr>
      <vt:lpstr>Noviembre!TablaFechasImportantes</vt:lpstr>
      <vt:lpstr>Octubre!TablaFechasImportantes</vt:lpstr>
      <vt:lpstr>Septiembre!TablaFechasImportantes</vt:lpstr>
      <vt:lpstr>TablaFechasImportantes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Transparencia</dc:creator>
  <cp:lastModifiedBy>Transparencia Tecolotlán</cp:lastModifiedBy>
  <cp:lastPrinted>2010-12-16T21:23:33Z</cp:lastPrinted>
  <dcterms:created xsi:type="dcterms:W3CDTF">2018-12-11T15:48:28Z</dcterms:created>
  <dcterms:modified xsi:type="dcterms:W3CDTF">2019-07-08T16:11:56Z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TC025512749991</vt:lpwstr>
  </property>
</Properties>
</file>