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95" windowWidth="15480" windowHeight="11565" tabRatio="690" firstSheet="9" activeTab="11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Diciembre!$A$1:$M$52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Noviembre!$A$1:$M$51</definedName>
    <definedName name="_xlnm.Print_Area" localSheetId="9">Octubre!$A$1:$M$53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Diciembre!$L$4:$L$35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Noviembre!$L$4:$L$34</definedName>
    <definedName name="DíasDeTareas" localSheetId="9">Octubre!$L$4:$L$36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Noviembre!$L$4:$M$7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5" l="1"/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I7" i="14"/>
  <c r="G7" i="14"/>
  <c r="F7" i="14"/>
  <c r="I6" i="14"/>
  <c r="H6" i="14"/>
  <c r="G6" i="14"/>
  <c r="F6" i="14"/>
  <c r="I5" i="14"/>
  <c r="H5" i="14"/>
  <c r="G5" i="14"/>
  <c r="F5" i="14"/>
  <c r="I4" i="14"/>
  <c r="G4" i="14"/>
  <c r="F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<sst xmlns="http://schemas.openxmlformats.org/spreadsheetml/2006/main" count="297" uniqueCount="75">
  <si>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</si>
  <si>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</si>
  <si>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</si>
  <si>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</si>
  <si>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</si>
  <si>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</si>
  <si>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</si>
  <si>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</si>
  <si>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</si>
  <si>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</si>
  <si>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</si>
  <si>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</si>
  <si>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</si>
  <si>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</si>
  <si>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</si>
  <si>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</si>
  <si>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</si>
  <si>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</si>
  <si>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</si>
  <si>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</si>
  <si>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</si>
  <si>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</si>
  <si>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</si>
  <si>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</si>
  <si>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</si>
  <si>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</si>
  <si>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</si>
  <si>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Entrega- Recepcion 2018-2021</t>
  </si>
  <si>
    <t xml:space="preserve">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</si>
  <si>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</si>
  <si>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Envio de correos a los Directores de Cultura de la Región</t>
  </si>
  <si>
    <t xml:space="preserve">Congreso Internacional de Industrias Creativas y Culturales </t>
  </si>
  <si>
    <t>SÁB.</t>
  </si>
  <si>
    <t>DOM.</t>
  </si>
  <si>
    <t>Entrega de Instrumentos al Taller de música de Cofradia, ballet folklorico Ayotitlán, Confirmar reunión con taller de música y ballet Folklorico Quila</t>
  </si>
  <si>
    <t>Reunión con regidora de Cultura y Comité del Día de Muertos 2018, Reunión con Germán Mendoza, Reunión con Presidente, Capacitación Transparencia, llevar bocina a Taller de música Ayotitlán</t>
  </si>
  <si>
    <t xml:space="preserve">Limpieza de la Casa de la Cultura, Entrega- Recepción 2018-2021,  Revisión de Instrumentos Musicales </t>
  </si>
  <si>
    <t xml:space="preserve">Elaboración de tabla de Presupuesto Talleres y Programa ECOS, Reunión con padres de familia y comité para cuentas para el viaje a Estados Unidos </t>
  </si>
  <si>
    <t>Honores a la Bandera, Visita junto con el Presidente al Taller de Pintura</t>
  </si>
  <si>
    <t>Programa Día de Muertos 2018, Reunión para diseños</t>
  </si>
  <si>
    <t>Presentación del Mariachi Juvenil ECOS Tecolotlán</t>
  </si>
  <si>
    <t>Elaboración de tabla Proyecto Dirección de Cultura, Miss Heart Jalisco 2018</t>
  </si>
  <si>
    <t>Reunión con Sindico y Regidor de Deportes, Proyecto de Gobierno</t>
  </si>
  <si>
    <t xml:space="preserve">Reunión sobre Desfile 20 de Noviembre </t>
  </si>
  <si>
    <t xml:space="preserve">Reunión con Fabricio </t>
  </si>
  <si>
    <t>Reunión con los integrantes del Taller de Pintura</t>
  </si>
  <si>
    <t>Temas sobre el Festival Día de Muertos 2018</t>
  </si>
  <si>
    <t xml:space="preserve">Reunión con Presidente, Asuntos pendientes en Oficina </t>
  </si>
  <si>
    <t>Honores a la Bandera, mandar a Mike Programa Día de Muertos, Elaboración de oficios para vialidad, protección civil, servicios públicos, Presentación Cultural en San Rafael</t>
  </si>
  <si>
    <t>Reunión con el maestro Luis Soto, Fotografías de la Reina,Perifoneo día del Gis</t>
  </si>
  <si>
    <t xml:space="preserve">Reunión del Estado sobre Cultura, Detalles sobre el Programa Día de Muertos </t>
  </si>
  <si>
    <t xml:space="preserve">Reunión del Estado sobre Cultura. </t>
  </si>
  <si>
    <t>XXVI Festival del Gis</t>
  </si>
  <si>
    <t xml:space="preserve">Pendientes en Oficina, Oficios para Escuelas y llamar a los directotes, Reunión con padres de familia de Ballet para invitarlos al desfile </t>
  </si>
  <si>
    <t>Elaboración de reconocimientos para Festival, Escoger jurado para el concurso de  catrinas y catrines, Acompañar a presentación del Mariachi en el Grullo</t>
  </si>
  <si>
    <t>Entrega de Oficios en Tesorería, Reunión con padres de familia en Quila</t>
  </si>
  <si>
    <t xml:space="preserve">Resolver pendientes en oficina </t>
  </si>
  <si>
    <t xml:space="preserve">Inauguración Festival Cultural Día de Muertos 2018, Panteonada Infantil, Panteonana Nocturna </t>
  </si>
  <si>
    <t xml:space="preserve">Actividad en el Panteón Municipal, Desfile Día de Muertos, Concurso de Catrinas y Catrines, Evento Cultural </t>
  </si>
  <si>
    <t>Proyección de la pelicula "Coco", Clausura del Festival Cultural Día de Muertos</t>
  </si>
  <si>
    <t xml:space="preserve">Asuntos pendientes en Oficina </t>
  </si>
  <si>
    <t xml:space="preserve">Reunión de Transparencia y Protección de datos personales </t>
  </si>
  <si>
    <t>Asuntos pendientes en Oficina</t>
  </si>
  <si>
    <t>Reunión SEDIS: Apoyo al Transporte, Reunión en Contraloría Gobierno Tecolotlán</t>
  </si>
  <si>
    <t xml:space="preserve">Salida a Guadalajara </t>
  </si>
  <si>
    <t xml:space="preserve">Entrega de VIENEVAN a Estudiantes, Reunión con Director de Promoción Económica </t>
  </si>
  <si>
    <t>Elaboración de oficios para invitar a las reinas al desfile, Elaborar comprobación de Fonde Jalisco de Animación, Elaborar credenciales para estudiantes, Entregar nominas en Tesoreria y lista de raya.</t>
  </si>
  <si>
    <t>Llamar a Andrés Magaña de Rutas Plasticas, Reunión con representantes de agrupaciones musicales.</t>
  </si>
  <si>
    <t>Reunión con el maestro Jorge Melchor, Reunión con representante de Coca Cola</t>
  </si>
  <si>
    <t xml:space="preserve">Desfile </t>
  </si>
  <si>
    <t>Pendientes en oficina sobre el día de Santa Cecilia</t>
  </si>
  <si>
    <t xml:space="preserve">Evento de Santa Cecilia </t>
  </si>
  <si>
    <t xml:space="preserve">Pendientes en Oficina </t>
  </si>
  <si>
    <t>Asuntos pendientes en oficina</t>
  </si>
  <si>
    <t xml:space="preserve">Asuntos pendientes en oficina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</si>
</sst>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40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b/>
      <sz val="10.5"/>
      <color theme="1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87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3" fillId="5" borderId="11" xfId="0" applyFont="1" applyFill="1" applyBorder="1" applyAlignment="1">
      <alignment horizontal="left" vertical="top" indent="1"/>
    </xf>
    <xf numFmtId="164" fontId="29" fillId="0" borderId="14" xfId="0" applyNumberFormat="1" applyFont="1" applyFill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164" fontId="35" fillId="0" borderId="14" xfId="0" applyNumberFormat="1" applyFont="1" applyFill="1" applyBorder="1" applyAlignment="1">
      <alignment horizontal="center"/>
    </xf>
    <xf numFmtId="0" fontId="36" fillId="0" borderId="18" xfId="0" applyFont="1" applyBorder="1" applyAlignment="1"/>
    <xf numFmtId="0" fontId="36" fillId="0" borderId="3" xfId="0" applyFont="1" applyBorder="1" applyAlignment="1">
      <alignment wrapText="1"/>
    </xf>
    <xf numFmtId="0" fontId="36" fillId="0" borderId="0" xfId="0" applyFont="1"/>
    <xf numFmtId="0" fontId="28" fillId="0" borderId="29" xfId="0" applyFont="1" applyBorder="1" applyAlignment="1">
      <alignment horizontal="right" vertical="center" textRotation="90"/>
    </xf>
    <xf numFmtId="0" fontId="36" fillId="0" borderId="3" xfId="0" applyFont="1" applyBorder="1" applyAlignment="1">
      <alignment horizontal="left"/>
    </xf>
    <xf numFmtId="0" fontId="36" fillId="0" borderId="18" xfId="0" applyFont="1" applyBorder="1" applyAlignment="1">
      <alignment horizontal="left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33" fillId="5" borderId="7" xfId="0" applyFont="1" applyFill="1" applyBorder="1" applyAlignment="1">
      <alignment horizontal="left" vertical="top" indent="1"/>
    </xf>
    <xf numFmtId="0" fontId="33" fillId="5" borderId="0" xfId="0" applyFont="1" applyFill="1" applyBorder="1" applyAlignment="1">
      <alignment horizontal="left" vertical="top" indent="1"/>
    </xf>
    <xf numFmtId="49" fontId="32" fillId="5" borderId="0" xfId="0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36" fillId="0" borderId="47" xfId="0" applyFont="1" applyBorder="1" applyAlignment="1">
      <alignment horizontal="left"/>
    </xf>
    <xf numFmtId="0" fontId="36" fillId="0" borderId="48" xfId="0" applyFont="1" applyBorder="1" applyAlignment="1">
      <alignment horizontal="left"/>
    </xf>
    <xf numFmtId="164" fontId="27" fillId="7" borderId="0" xfId="0" applyNumberFormat="1" applyFont="1" applyFill="1" applyBorder="1" applyAlignment="1">
      <alignment horizontal="center" vertical="center" wrapText="1"/>
    </xf>
    <xf numFmtId="164" fontId="30" fillId="7" borderId="14" xfId="0" applyNumberFormat="1" applyFont="1" applyFill="1" applyBorder="1" applyAlignment="1">
      <alignment horizontal="left" vertical="center" wrapText="1" indent="1"/>
    </xf>
    <xf numFmtId="164" fontId="39" fillId="7" borderId="0" xfId="0" applyNumberFormat="1" applyFont="1" applyFill="1" applyBorder="1" applyAlignment="1">
      <alignment horizontal="center" vertical="center" wrapText="1"/>
    </xf>
    <xf numFmtId="164" fontId="38" fillId="6" borderId="0" xfId="0" applyNumberFormat="1" applyFont="1" applyFill="1" applyBorder="1" applyAlignment="1">
      <alignment horizontal="center" vertical="center" wrapText="1"/>
    </xf>
    <xf numFmtId="164" fontId="27" fillId="6" borderId="0" xfId="0" applyNumberFormat="1" applyFont="1" applyFill="1" applyBorder="1" applyAlignment="1">
      <alignment horizontal="center" vertical="center" wrapText="1"/>
    </xf>
    <xf numFmtId="49" fontId="32" fillId="5" borderId="7" xfId="0" applyNumberFormat="1" applyFont="1" applyFill="1" applyBorder="1" applyAlignment="1">
      <alignment horizontal="left" indent="1"/>
    </xf>
    <xf numFmtId="49" fontId="32" fillId="5" borderId="0" xfId="0" applyNumberFormat="1" applyFont="1" applyFill="1" applyBorder="1" applyAlignment="1">
      <alignment horizontal="left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164" fontId="34" fillId="0" borderId="5" xfId="0" applyNumberFormat="1" applyFont="1" applyFill="1" applyBorder="1" applyAlignment="1">
      <alignment horizontal="left"/>
    </xf>
    <xf numFmtId="164" fontId="34" fillId="0" borderId="20" xfId="0" applyNumberFormat="1" applyFont="1" applyFill="1" applyBorder="1" applyAlignment="1">
      <alignment horizontal="left"/>
    </xf>
    <xf numFmtId="0" fontId="28" fillId="0" borderId="36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6" fillId="0" borderId="3" xfId="0" applyFont="1" applyBorder="1" applyAlignment="1">
      <alignment horizontal="left"/>
    </xf>
    <xf numFmtId="0" fontId="36" fillId="0" borderId="18" xfId="0" applyFont="1" applyBorder="1" applyAlignment="1">
      <alignment horizontal="left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0" fontId="36" fillId="0" borderId="5" xfId="0" applyFont="1" applyBorder="1" applyAlignment="1">
      <alignment horizontal="left"/>
    </xf>
    <xf numFmtId="0" fontId="36" fillId="0" borderId="20" xfId="0" applyFont="1" applyBorder="1" applyAlignment="1">
      <alignment horizontal="left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6" fillId="0" borderId="19" xfId="0" applyFont="1" applyBorder="1" applyAlignment="1">
      <alignment horizontal="left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36" fillId="0" borderId="17" xfId="0" applyFont="1" applyBorder="1" applyAlignment="1">
      <alignment horizontal="left" wrapText="1"/>
    </xf>
    <xf numFmtId="0" fontId="36" fillId="0" borderId="19" xfId="0" applyFont="1" applyBorder="1" applyAlignment="1">
      <alignment horizontal="left" wrapText="1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0" fontId="28" fillId="0" borderId="33" xfId="0" applyFont="1" applyBorder="1" applyAlignment="1">
      <alignment horizontal="right" vertical="center" textRotation="90"/>
    </xf>
    <xf numFmtId="0" fontId="36" fillId="0" borderId="37" xfId="0" applyFont="1" applyBorder="1" applyAlignment="1">
      <alignment horizontal="left"/>
    </xf>
    <xf numFmtId="0" fontId="36" fillId="0" borderId="38" xfId="0" applyFont="1" applyBorder="1" applyAlignment="1">
      <alignment horizontal="left"/>
    </xf>
    <xf numFmtId="0" fontId="36" fillId="0" borderId="3" xfId="0" applyFont="1" applyBorder="1" applyAlignment="1">
      <alignment horizontal="left" wrapText="1"/>
    </xf>
    <xf numFmtId="0" fontId="36" fillId="0" borderId="18" xfId="0" applyFont="1" applyBorder="1" applyAlignment="1">
      <alignment horizontal="left" wrapText="1"/>
    </xf>
    <xf numFmtId="0" fontId="33" fillId="5" borderId="27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164" fontId="37" fillId="0" borderId="5" xfId="0" applyNumberFormat="1" applyFont="1" applyFill="1" applyBorder="1" applyAlignment="1">
      <alignment horizontal="left"/>
    </xf>
    <xf numFmtId="164" fontId="37" fillId="0" borderId="2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1"/>
      <tableStyleElement type="headerRow" dxfId="60"/>
      <tableStyleElement type="totalRow" dxfId="59"/>
      <tableStyleElement type="firstColumn" dxfId="58"/>
      <tableStyleElement type="lastColumn" dxfId="57"/>
      <tableStyleElement type="firstRowStripe" dxfId="56"/>
      <tableStyleElement type="firstColumnStripe" dxfId="55"/>
    </tableStyle>
    <tableStyle name="TableStyleLight9 2" pivot="0" count="4">
      <tableStyleElement type="wholeTable" dxfId="54"/>
      <tableStyleElement type="headerRow" dxfId="53"/>
      <tableStyleElement type="totalRow" dxfId="52"/>
      <tableStyleElement type="firstColumn" dxfId="5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4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124">
        <v>2018</v>
      </c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125"/>
    </row>
    <row r="4" spans="1:14" ht="18" customHeight="1" x14ac:dyDescent="0.2">
      <c r="A4" s="4"/>
      <c r="B4" s="78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121" t="s">
        <v>12</v>
      </c>
      <c r="L4" s="16">
        <v>3</v>
      </c>
      <c r="M4" s="122"/>
      <c r="N4" s="123"/>
    </row>
    <row r="5" spans="1:14" ht="18" customHeight="1" x14ac:dyDescent="0.2">
      <c r="A5" s="4"/>
      <c r="B5" s="78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>
        <v>18</v>
      </c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50" priority="4" stopIfTrue="1">
      <formula>DAY(C4)&gt;8</formula>
    </cfRule>
  </conditionalFormatting>
  <conditionalFormatting sqref="C8:I10">
    <cfRule type="expression" dxfId="49" priority="3" stopIfTrue="1">
      <formula>AND(DAY(C8)&gt;=1,DAY(C8)&lt;=15)</formula>
    </cfRule>
  </conditionalFormatting>
  <conditionalFormatting sqref="C4:I9">
    <cfRule type="expression" dxfId="48" priority="15">
      <formula>VLOOKUP(DAY(C4),DíasDeTareas,1,FALSE)=DAY(C4)</formula>
    </cfRule>
  </conditionalFormatting>
  <conditionalFormatting sqref="B14:J33">
    <cfRule type="expression" dxfId="47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9"/>
  <sheetViews>
    <sheetView showGridLines="0" topLeftCell="B21" zoomScaleNormal="100" zoomScalePageLayoutView="84" workbookViewId="0">
      <selection activeCell="M14" sqref="M14:N14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59.2851562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68" t="s">
        <v>18</v>
      </c>
      <c r="C2" s="29"/>
      <c r="D2" s="29"/>
      <c r="E2" s="29"/>
      <c r="F2" s="29"/>
      <c r="G2" s="29"/>
      <c r="H2" s="29"/>
      <c r="I2" s="29"/>
      <c r="J2" s="30"/>
      <c r="K2" s="171" t="s">
        <v>3</v>
      </c>
      <c r="L2" s="172">
        <v>2013</v>
      </c>
      <c r="M2" s="172"/>
      <c r="N2" s="31"/>
    </row>
    <row r="3" spans="1:14" ht="21" customHeight="1" x14ac:dyDescent="0.2">
      <c r="A3" s="28"/>
      <c r="B3" s="16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73"/>
      <c r="L3" s="174"/>
      <c r="M3" s="174"/>
      <c r="N3" s="34"/>
    </row>
    <row r="4" spans="1:14" ht="18" customHeight="1" x14ac:dyDescent="0.2">
      <c r="A4" s="28"/>
      <c r="B4" s="169"/>
      <c r="C4" s="72">
        <v>1</v>
      </c>
      <c r="D4" s="72">
        <v>2</v>
      </c>
      <c r="E4" s="72">
        <v>3</v>
      </c>
      <c r="F4" s="72">
        <f>IF(DAY(OctDom1)=1,OctDom1-3,OctDom1+4)</f>
        <v>43377</v>
      </c>
      <c r="G4" s="72">
        <f>IF(DAY(OctDom1)=1,OctDom1-2,OctDom1+5)</f>
        <v>43378</v>
      </c>
      <c r="H4" s="72">
        <v>6</v>
      </c>
      <c r="I4" s="73">
        <f>IF(DAY(OctDom1)=1,OctDom1,OctDom1+7)</f>
        <v>43380</v>
      </c>
      <c r="J4" s="33"/>
      <c r="K4" s="175" t="s">
        <v>12</v>
      </c>
      <c r="L4" s="48">
        <v>1</v>
      </c>
      <c r="M4" s="176" t="s">
        <v>27</v>
      </c>
      <c r="N4" s="177"/>
    </row>
    <row r="5" spans="1:14" ht="18" customHeight="1" x14ac:dyDescent="0.2">
      <c r="A5" s="28"/>
      <c r="B5" s="169"/>
      <c r="C5" s="72">
        <v>6</v>
      </c>
      <c r="D5" s="73">
        <v>7</v>
      </c>
      <c r="E5" s="72">
        <v>8</v>
      </c>
      <c r="F5" s="72">
        <f>IF(DAY(OctDom1)=1,OctDom1+4,OctDom1+11)</f>
        <v>43384</v>
      </c>
      <c r="G5" s="72">
        <f>IF(DAY(OctDom1)=1,OctDom1+5,OctDom1+12)</f>
        <v>43385</v>
      </c>
      <c r="H5" s="72">
        <f>IF(DAY(OctDom1)=1,OctDom1+6,OctDom1+13)</f>
        <v>43386</v>
      </c>
      <c r="I5" s="73">
        <f>IF(DAY(OctDom1)=1,OctDom1+7,OctDom1+14)</f>
        <v>43387</v>
      </c>
      <c r="J5" s="33"/>
      <c r="K5" s="135"/>
      <c r="L5" s="49">
        <v>8</v>
      </c>
      <c r="M5" s="136" t="s">
        <v>34</v>
      </c>
      <c r="N5" s="137"/>
    </row>
    <row r="6" spans="1:14" ht="18" customHeight="1" x14ac:dyDescent="0.2">
      <c r="A6" s="28"/>
      <c r="B6" s="169"/>
      <c r="C6" s="72">
        <v>15</v>
      </c>
      <c r="D6" s="72">
        <v>16</v>
      </c>
      <c r="E6" s="72">
        <v>17</v>
      </c>
      <c r="F6" s="72">
        <f>IF(DAY(OctDom1)=1,OctDom1+11,OctDom1+18)</f>
        <v>43391</v>
      </c>
      <c r="G6" s="72">
        <f>IF(DAY(OctDom1)=1,OctDom1+12,OctDom1+19)</f>
        <v>43392</v>
      </c>
      <c r="H6" s="73">
        <f>IF(DAY(OctDom1)=1,OctDom1+13,OctDom1+20)</f>
        <v>43393</v>
      </c>
      <c r="I6" s="73">
        <f>IF(DAY(OctDom1)=1,OctDom1+14,OctDom1+21)</f>
        <v>43394</v>
      </c>
      <c r="J6" s="33"/>
      <c r="K6" s="135"/>
      <c r="L6" s="49">
        <v>15</v>
      </c>
      <c r="M6" s="136" t="s">
        <v>41</v>
      </c>
      <c r="N6" s="137"/>
    </row>
    <row r="7" spans="1:14" ht="18" customHeight="1" x14ac:dyDescent="0.2">
      <c r="A7" s="28"/>
      <c r="B7" s="169"/>
      <c r="C7" s="72">
        <v>22</v>
      </c>
      <c r="D7" s="72">
        <v>23</v>
      </c>
      <c r="E7" s="72">
        <v>24</v>
      </c>
      <c r="F7" s="72">
        <f>IF(DAY(OctDom1)=1,OctDom1+18,OctDom1+25)</f>
        <v>43398</v>
      </c>
      <c r="G7" s="72">
        <f>IF(DAY(OctDom1)=1,OctDom1+19,OctDom1+26)</f>
        <v>43399</v>
      </c>
      <c r="H7" s="72">
        <v>27</v>
      </c>
      <c r="I7" s="73">
        <f>IF(DAY(OctDom1)=1,OctDom1+21,OctDom1+28)</f>
        <v>43401</v>
      </c>
      <c r="J7" s="33"/>
      <c r="K7" s="37"/>
      <c r="L7" s="49">
        <v>22</v>
      </c>
      <c r="M7" s="136" t="s">
        <v>46</v>
      </c>
      <c r="N7" s="137"/>
    </row>
    <row r="8" spans="1:14" ht="28.5" customHeight="1" x14ac:dyDescent="0.2">
      <c r="A8" s="28"/>
      <c r="B8" s="169"/>
      <c r="C8" s="72">
        <v>29</v>
      </c>
      <c r="D8" s="72">
        <v>30</v>
      </c>
      <c r="E8" s="72">
        <v>31</v>
      </c>
      <c r="F8" s="72">
        <f>IF(DAY(OctDom1)=1,OctDom1+25,OctDom1+32)</f>
        <v>43405</v>
      </c>
      <c r="G8" s="72">
        <f>IF(DAY(OctDom1)=1,OctDom1+26,OctDom1+33)</f>
        <v>43406</v>
      </c>
      <c r="H8" s="72">
        <f>IF(DAY(OctDom1)=1,OctDom1+27,OctDom1+34)</f>
        <v>43407</v>
      </c>
      <c r="I8" s="72">
        <f>IF(DAY(OctDom1)=1,OctDom1+28,OctDom1+35)</f>
        <v>43408</v>
      </c>
      <c r="J8" s="33"/>
      <c r="K8" s="37"/>
      <c r="L8" s="49">
        <v>29</v>
      </c>
      <c r="M8" s="178" t="s">
        <v>53</v>
      </c>
      <c r="N8" s="179"/>
    </row>
    <row r="9" spans="1:14" ht="18" customHeight="1" x14ac:dyDescent="0.2">
      <c r="A9" s="28"/>
      <c r="B9" s="169"/>
      <c r="C9" s="70">
        <f>IF(DAY(OctDom1)=1,OctDom1+29,OctDom1+36)</f>
        <v>43409</v>
      </c>
      <c r="D9" s="70">
        <f>IF(DAY(OctDom1)=1,OctDom1+30,OctDom1+37)</f>
        <v>43410</v>
      </c>
      <c r="E9" s="70">
        <f>IF(DAY(OctDom1)=1,OctDom1+31,OctDom1+38)</f>
        <v>43411</v>
      </c>
      <c r="F9" s="70">
        <f>IF(DAY(OctDom1)=1,OctDom1+32,OctDom1+39)</f>
        <v>43412</v>
      </c>
      <c r="G9" s="70">
        <f>IF(DAY(OctDom1)=1,OctDom1+33,OctDom1+40)</f>
        <v>43413</v>
      </c>
      <c r="H9" s="70">
        <f>IF(DAY(OctDom1)=1,OctDom1+34,OctDom1+41)</f>
        <v>43414</v>
      </c>
      <c r="I9" s="70">
        <f>IF(DAY(OctDom1)=1,OctDom1+35,OctDom1+42)</f>
        <v>43415</v>
      </c>
      <c r="J9" s="33"/>
      <c r="K9" s="38"/>
      <c r="L9" s="50"/>
      <c r="M9" s="146"/>
      <c r="N9" s="147"/>
    </row>
    <row r="10" spans="1:14" ht="18" customHeight="1" x14ac:dyDescent="0.2">
      <c r="A10" s="28"/>
      <c r="B10" s="170"/>
      <c r="C10" s="39"/>
      <c r="D10" s="39"/>
      <c r="E10" s="39"/>
      <c r="F10" s="39"/>
      <c r="G10" s="39"/>
      <c r="H10" s="39"/>
      <c r="I10" s="39"/>
      <c r="J10" s="40"/>
      <c r="K10" s="134" t="s">
        <v>13</v>
      </c>
      <c r="L10" s="48">
        <v>2</v>
      </c>
      <c r="M10" s="150" t="s">
        <v>36</v>
      </c>
      <c r="N10" s="151"/>
    </row>
    <row r="11" spans="1:14" ht="18" customHeight="1" x14ac:dyDescent="0.2">
      <c r="A11" s="28"/>
      <c r="B11" s="162" t="s">
        <v>11</v>
      </c>
      <c r="C11" s="163"/>
      <c r="D11" s="163"/>
      <c r="E11" s="163"/>
      <c r="F11" s="163"/>
      <c r="G11" s="163"/>
      <c r="H11" s="163"/>
      <c r="I11" s="163"/>
      <c r="J11" s="164"/>
      <c r="K11" s="135"/>
      <c r="L11" s="49">
        <v>9</v>
      </c>
      <c r="M11" s="136" t="s">
        <v>35</v>
      </c>
      <c r="N11" s="137"/>
    </row>
    <row r="12" spans="1:14" ht="18" customHeight="1" x14ac:dyDescent="0.2">
      <c r="A12" s="28"/>
      <c r="B12" s="162"/>
      <c r="C12" s="163"/>
      <c r="D12" s="163"/>
      <c r="E12" s="163"/>
      <c r="F12" s="163"/>
      <c r="G12" s="163"/>
      <c r="H12" s="163"/>
      <c r="I12" s="163"/>
      <c r="J12" s="164"/>
      <c r="K12" s="135"/>
      <c r="L12" s="49">
        <v>16</v>
      </c>
      <c r="M12" s="136" t="s">
        <v>42</v>
      </c>
      <c r="N12" s="137"/>
    </row>
    <row r="13" spans="1:14" ht="30" customHeight="1" x14ac:dyDescent="0.2">
      <c r="B13" s="41" t="s">
        <v>12</v>
      </c>
      <c r="C13" s="165" t="s">
        <v>13</v>
      </c>
      <c r="D13" s="166"/>
      <c r="E13" s="165" t="s">
        <v>14</v>
      </c>
      <c r="F13" s="166"/>
      <c r="G13" s="165" t="s">
        <v>15</v>
      </c>
      <c r="H13" s="166"/>
      <c r="I13" s="165" t="s">
        <v>16</v>
      </c>
      <c r="J13" s="167"/>
      <c r="K13" s="37"/>
      <c r="L13" s="49">
        <v>23</v>
      </c>
      <c r="M13" s="54" t="s">
        <v>47</v>
      </c>
      <c r="N13" s="53"/>
    </row>
    <row r="14" spans="1:14" ht="18" customHeight="1" x14ac:dyDescent="0.2">
      <c r="B14" s="42"/>
      <c r="C14" s="148"/>
      <c r="D14" s="149"/>
      <c r="E14" s="148"/>
      <c r="F14" s="149"/>
      <c r="G14" s="148"/>
      <c r="H14" s="149"/>
      <c r="I14" s="154"/>
      <c r="J14" s="155"/>
      <c r="K14" s="37"/>
      <c r="L14" s="49">
        <v>30</v>
      </c>
      <c r="M14" s="136" t="s">
        <v>54</v>
      </c>
      <c r="N14" s="137"/>
    </row>
    <row r="15" spans="1:14" ht="12.75" x14ac:dyDescent="0.2">
      <c r="B15" s="43"/>
      <c r="C15" s="144"/>
      <c r="D15" s="145"/>
      <c r="E15" s="144"/>
      <c r="F15" s="145"/>
      <c r="G15" s="144"/>
      <c r="H15" s="145"/>
      <c r="I15" s="154"/>
      <c r="J15" s="155"/>
      <c r="K15" s="44"/>
      <c r="L15" s="51"/>
      <c r="M15" s="146"/>
      <c r="N15" s="147"/>
    </row>
    <row r="16" spans="1:14" ht="34.5" customHeight="1" x14ac:dyDescent="0.2">
      <c r="B16" s="42"/>
      <c r="C16" s="148"/>
      <c r="D16" s="149"/>
      <c r="E16" s="148"/>
      <c r="F16" s="149"/>
      <c r="G16" s="148"/>
      <c r="H16" s="149"/>
      <c r="I16" s="154"/>
      <c r="J16" s="155"/>
      <c r="K16" s="152" t="s">
        <v>14</v>
      </c>
      <c r="L16" s="48">
        <v>3</v>
      </c>
      <c r="M16" s="160" t="s">
        <v>30</v>
      </c>
      <c r="N16" s="161"/>
    </row>
    <row r="17" spans="2:14" ht="18" customHeight="1" x14ac:dyDescent="0.2">
      <c r="B17" s="43"/>
      <c r="C17" s="144"/>
      <c r="D17" s="145"/>
      <c r="E17" s="144"/>
      <c r="F17" s="145"/>
      <c r="G17" s="144"/>
      <c r="H17" s="145"/>
      <c r="I17" s="154"/>
      <c r="J17" s="155"/>
      <c r="K17" s="153"/>
      <c r="L17" s="49">
        <v>10</v>
      </c>
      <c r="M17" s="136" t="s">
        <v>55</v>
      </c>
      <c r="N17" s="137"/>
    </row>
    <row r="18" spans="2:14" ht="18" customHeight="1" x14ac:dyDescent="0.2">
      <c r="B18" s="45"/>
      <c r="C18" s="158"/>
      <c r="D18" s="159"/>
      <c r="E18" s="158"/>
      <c r="F18" s="159"/>
      <c r="G18" s="158"/>
      <c r="H18" s="159"/>
      <c r="I18" s="154"/>
      <c r="J18" s="155"/>
      <c r="K18" s="153"/>
      <c r="L18" s="49">
        <v>17</v>
      </c>
      <c r="M18" s="136" t="s">
        <v>43</v>
      </c>
      <c r="N18" s="137"/>
    </row>
    <row r="19" spans="2:14" ht="18" customHeight="1" x14ac:dyDescent="0.2">
      <c r="B19" s="43"/>
      <c r="C19" s="144"/>
      <c r="D19" s="145"/>
      <c r="E19" s="144"/>
      <c r="F19" s="145"/>
      <c r="G19" s="144"/>
      <c r="H19" s="145"/>
      <c r="I19" s="154"/>
      <c r="J19" s="155"/>
      <c r="K19" s="37"/>
      <c r="L19" s="49">
        <v>24</v>
      </c>
      <c r="M19" s="1" t="s">
        <v>48</v>
      </c>
    </row>
    <row r="20" spans="2:14" ht="18" customHeight="1" x14ac:dyDescent="0.2">
      <c r="B20" s="42"/>
      <c r="C20" s="148"/>
      <c r="D20" s="149"/>
      <c r="E20" s="148"/>
      <c r="F20" s="149"/>
      <c r="G20" s="148"/>
      <c r="H20" s="149"/>
      <c r="I20" s="154"/>
      <c r="J20" s="155"/>
      <c r="K20" s="37"/>
      <c r="L20" s="49">
        <v>31</v>
      </c>
      <c r="M20" s="136" t="s">
        <v>56</v>
      </c>
      <c r="N20" s="137"/>
    </row>
    <row r="21" spans="2:14" ht="18" customHeight="1" x14ac:dyDescent="0.2">
      <c r="B21" s="43"/>
      <c r="C21" s="144"/>
      <c r="D21" s="145"/>
      <c r="E21" s="144"/>
      <c r="F21" s="145"/>
      <c r="G21" s="144"/>
      <c r="H21" s="145"/>
      <c r="I21" s="154"/>
      <c r="J21" s="155"/>
      <c r="K21" s="44"/>
      <c r="L21" s="51"/>
      <c r="M21" s="146"/>
      <c r="N21" s="147"/>
    </row>
    <row r="22" spans="2:14" ht="30" customHeight="1" x14ac:dyDescent="0.2">
      <c r="B22" s="42"/>
      <c r="C22" s="148"/>
      <c r="D22" s="149"/>
      <c r="E22" s="148"/>
      <c r="F22" s="149"/>
      <c r="G22" s="148"/>
      <c r="H22" s="149"/>
      <c r="I22" s="154"/>
      <c r="J22" s="155"/>
      <c r="K22" s="152" t="s">
        <v>15</v>
      </c>
      <c r="L22" s="48">
        <v>4</v>
      </c>
      <c r="M22" s="160" t="s">
        <v>31</v>
      </c>
      <c r="N22" s="161"/>
    </row>
    <row r="23" spans="2:14" ht="18" customHeight="1" x14ac:dyDescent="0.2">
      <c r="B23" s="43"/>
      <c r="C23" s="144"/>
      <c r="D23" s="145"/>
      <c r="E23" s="144"/>
      <c r="F23" s="145"/>
      <c r="G23" s="144"/>
      <c r="H23" s="145"/>
      <c r="I23" s="154"/>
      <c r="J23" s="155"/>
      <c r="K23" s="153"/>
      <c r="L23" s="49">
        <v>11</v>
      </c>
      <c r="M23" s="136" t="s">
        <v>37</v>
      </c>
      <c r="N23" s="137"/>
    </row>
    <row r="24" spans="2:14" ht="18" customHeight="1" x14ac:dyDescent="0.2">
      <c r="B24" s="42"/>
      <c r="C24" s="148"/>
      <c r="D24" s="149"/>
      <c r="E24" s="148"/>
      <c r="F24" s="149"/>
      <c r="G24" s="148"/>
      <c r="H24" s="149"/>
      <c r="I24" s="154"/>
      <c r="J24" s="155"/>
      <c r="K24" s="153"/>
      <c r="L24" s="49">
        <v>18</v>
      </c>
      <c r="M24" s="136" t="s">
        <v>44</v>
      </c>
      <c r="N24" s="137"/>
    </row>
    <row r="25" spans="2:14" ht="18" customHeight="1" x14ac:dyDescent="0.2">
      <c r="B25" s="43"/>
      <c r="C25" s="144"/>
      <c r="D25" s="145"/>
      <c r="E25" s="144"/>
      <c r="F25" s="145"/>
      <c r="G25" s="144"/>
      <c r="H25" s="145"/>
      <c r="I25" s="154"/>
      <c r="J25" s="155"/>
      <c r="K25" s="153"/>
      <c r="L25" s="49">
        <v>25</v>
      </c>
      <c r="M25" s="136" t="s">
        <v>49</v>
      </c>
      <c r="N25" s="137"/>
    </row>
    <row r="26" spans="2:14" ht="18" customHeight="1" x14ac:dyDescent="0.2">
      <c r="B26" s="42"/>
      <c r="C26" s="148"/>
      <c r="D26" s="149"/>
      <c r="E26" s="148"/>
      <c r="F26" s="149"/>
      <c r="G26" s="148"/>
      <c r="H26" s="149"/>
      <c r="I26" s="154"/>
      <c r="J26" s="155"/>
      <c r="K26" s="37"/>
      <c r="L26" s="49"/>
      <c r="M26" s="136"/>
      <c r="N26" s="137"/>
    </row>
    <row r="27" spans="2:14" ht="18" customHeight="1" x14ac:dyDescent="0.2">
      <c r="B27" s="43"/>
      <c r="C27" s="144"/>
      <c r="D27" s="145"/>
      <c r="E27" s="144"/>
      <c r="F27" s="145"/>
      <c r="G27" s="144"/>
      <c r="H27" s="145"/>
      <c r="I27" s="154"/>
      <c r="J27" s="155"/>
      <c r="K27" s="44"/>
      <c r="L27" s="51"/>
      <c r="M27" s="146"/>
      <c r="N27" s="147"/>
    </row>
    <row r="28" spans="2:14" ht="18" customHeight="1" x14ac:dyDescent="0.2">
      <c r="B28" s="42"/>
      <c r="C28" s="148"/>
      <c r="D28" s="149"/>
      <c r="E28" s="148"/>
      <c r="F28" s="149"/>
      <c r="G28" s="148"/>
      <c r="H28" s="149"/>
      <c r="I28" s="154"/>
      <c r="J28" s="155"/>
      <c r="K28" s="134" t="s">
        <v>16</v>
      </c>
      <c r="L28" s="48">
        <v>5</v>
      </c>
      <c r="M28" s="150" t="s">
        <v>31</v>
      </c>
      <c r="N28" s="151"/>
    </row>
    <row r="29" spans="2:14" ht="18" customHeight="1" x14ac:dyDescent="0.2">
      <c r="B29" s="43"/>
      <c r="C29" s="144"/>
      <c r="D29" s="145"/>
      <c r="E29" s="144"/>
      <c r="F29" s="145"/>
      <c r="G29" s="144"/>
      <c r="H29" s="145"/>
      <c r="I29" s="156"/>
      <c r="J29" s="157"/>
      <c r="K29" s="135"/>
      <c r="L29" s="49">
        <v>12</v>
      </c>
      <c r="M29" s="136" t="s">
        <v>38</v>
      </c>
      <c r="N29" s="137"/>
    </row>
    <row r="30" spans="2:14" ht="18" customHeight="1" x14ac:dyDescent="0.2">
      <c r="B30" s="64"/>
      <c r="C30" s="65"/>
      <c r="D30" s="65"/>
      <c r="E30" s="65"/>
      <c r="F30" s="65"/>
      <c r="G30" s="65"/>
      <c r="H30" s="65"/>
      <c r="I30" s="66"/>
      <c r="J30" s="59"/>
      <c r="K30" s="135"/>
      <c r="L30" s="49">
        <v>19</v>
      </c>
      <c r="M30" s="57" t="s">
        <v>45</v>
      </c>
      <c r="N30" s="58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6"/>
      <c r="J31" s="59"/>
      <c r="K31" s="135"/>
      <c r="L31" s="49">
        <v>26</v>
      </c>
      <c r="M31" s="57" t="s">
        <v>50</v>
      </c>
      <c r="N31" s="58"/>
    </row>
    <row r="32" spans="2:14" ht="18" customHeight="1" x14ac:dyDescent="0.2">
      <c r="B32" s="138" t="s">
        <v>29</v>
      </c>
      <c r="C32" s="139"/>
      <c r="D32" s="139"/>
      <c r="E32" s="139"/>
      <c r="F32" s="139"/>
      <c r="G32" s="139"/>
      <c r="H32" s="139"/>
      <c r="I32" s="139"/>
      <c r="J32" s="140"/>
      <c r="K32" s="135"/>
      <c r="L32" s="49"/>
      <c r="M32" s="136"/>
      <c r="N32" s="137"/>
    </row>
    <row r="33" spans="2:14" ht="18" customHeight="1" x14ac:dyDescent="0.2">
      <c r="B33" s="141"/>
      <c r="C33" s="142"/>
      <c r="D33" s="142"/>
      <c r="E33" s="142"/>
      <c r="F33" s="142"/>
      <c r="G33" s="142"/>
      <c r="H33" s="142"/>
      <c r="I33" s="142"/>
      <c r="J33" s="143"/>
      <c r="K33" s="134" t="s">
        <v>32</v>
      </c>
      <c r="L33" s="49">
        <v>6</v>
      </c>
      <c r="M33" s="136" t="s">
        <v>31</v>
      </c>
      <c r="N33" s="137"/>
    </row>
    <row r="34" spans="2:14" ht="18" customHeight="1" x14ac:dyDescent="0.2">
      <c r="B34" s="141"/>
      <c r="C34" s="142"/>
      <c r="D34" s="142"/>
      <c r="E34" s="142"/>
      <c r="F34" s="142"/>
      <c r="G34" s="142"/>
      <c r="H34" s="142"/>
      <c r="I34" s="142"/>
      <c r="J34" s="143"/>
      <c r="K34" s="135"/>
      <c r="L34" s="49">
        <v>13</v>
      </c>
      <c r="M34" s="136" t="s">
        <v>39</v>
      </c>
      <c r="N34" s="137"/>
    </row>
    <row r="35" spans="2:14" ht="18" customHeight="1" x14ac:dyDescent="0.2">
      <c r="B35" s="60"/>
      <c r="C35" s="61"/>
      <c r="D35" s="61"/>
      <c r="E35" s="61"/>
      <c r="F35" s="61"/>
      <c r="G35" s="61"/>
      <c r="H35" s="61"/>
      <c r="I35" s="61"/>
      <c r="J35" s="62"/>
      <c r="K35" s="135"/>
      <c r="L35" s="67">
        <v>27</v>
      </c>
      <c r="M35" s="68" t="s">
        <v>51</v>
      </c>
      <c r="N35" s="69"/>
    </row>
    <row r="36" spans="2:14" ht="18" customHeight="1" x14ac:dyDescent="0.2">
      <c r="B36" s="46"/>
      <c r="C36" s="128"/>
      <c r="D36" s="129"/>
      <c r="E36" s="128"/>
      <c r="F36" s="129"/>
      <c r="G36" s="128"/>
      <c r="H36" s="129"/>
      <c r="I36" s="130"/>
      <c r="J36" s="131"/>
      <c r="K36" s="135"/>
      <c r="L36" s="47"/>
      <c r="M36" s="132"/>
      <c r="N36" s="133"/>
    </row>
    <row r="37" spans="2:14" ht="16.5" customHeight="1" x14ac:dyDescent="0.2">
      <c r="K37" s="134" t="s">
        <v>33</v>
      </c>
      <c r="L37" s="63">
        <v>14</v>
      </c>
      <c r="M37" s="1" t="s">
        <v>40</v>
      </c>
    </row>
    <row r="38" spans="2:14" ht="16.5" customHeight="1" x14ac:dyDescent="0.2">
      <c r="K38" s="135"/>
      <c r="L38" s="63">
        <v>28</v>
      </c>
      <c r="M38" s="1" t="s">
        <v>52</v>
      </c>
    </row>
    <row r="39" spans="2:14" ht="16.5" customHeight="1" x14ac:dyDescent="0.2">
      <c r="K39" s="135"/>
    </row>
  </sheetData>
  <mergeCells count="96">
    <mergeCell ref="K37:K39"/>
    <mergeCell ref="K10:K12"/>
    <mergeCell ref="M5:N5"/>
    <mergeCell ref="M6:N6"/>
    <mergeCell ref="M7:N7"/>
    <mergeCell ref="M8:N8"/>
    <mergeCell ref="M9:N9"/>
    <mergeCell ref="M22:N22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B2:B10"/>
    <mergeCell ref="K2:M3"/>
    <mergeCell ref="K4:K6"/>
    <mergeCell ref="M4:N4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C26:D26"/>
    <mergeCell ref="E26:F26"/>
    <mergeCell ref="G26:H26"/>
    <mergeCell ref="M26:N26"/>
    <mergeCell ref="C27:D27"/>
    <mergeCell ref="E27:F27"/>
    <mergeCell ref="G27:H27"/>
    <mergeCell ref="M27:N27"/>
    <mergeCell ref="C28:D28"/>
    <mergeCell ref="E28:F28"/>
    <mergeCell ref="G28:H28"/>
    <mergeCell ref="K28:K32"/>
    <mergeCell ref="M28:N28"/>
    <mergeCell ref="C29:D29"/>
    <mergeCell ref="E29:F29"/>
    <mergeCell ref="G29:H29"/>
    <mergeCell ref="M29:N29"/>
    <mergeCell ref="C36:D36"/>
    <mergeCell ref="E36:F36"/>
    <mergeCell ref="G36:H36"/>
    <mergeCell ref="I36:J36"/>
    <mergeCell ref="M36:N36"/>
    <mergeCell ref="K33:K36"/>
    <mergeCell ref="M33:N33"/>
    <mergeCell ref="M34:N34"/>
    <mergeCell ref="B32:J34"/>
    <mergeCell ref="M32:N32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36:J36 B15:H31 B14:I14">
    <cfRule type="expression" dxfId="11" priority="2">
      <formula>B14&lt;&gt;""</formula>
    </cfRule>
  </conditionalFormatting>
  <conditionalFormatting sqref="B32">
    <cfRule type="expression" dxfId="1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4"/>
  <sheetViews>
    <sheetView showGridLines="0" topLeftCell="A16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47.2851562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68" t="s">
        <v>17</v>
      </c>
      <c r="C2" s="29"/>
      <c r="D2" s="29"/>
      <c r="E2" s="29"/>
      <c r="F2" s="29"/>
      <c r="G2" s="29"/>
      <c r="H2" s="29"/>
      <c r="I2" s="29"/>
      <c r="J2" s="30"/>
      <c r="K2" s="171" t="s">
        <v>3</v>
      </c>
      <c r="L2" s="172">
        <v>2013</v>
      </c>
      <c r="M2" s="172"/>
      <c r="N2" s="31"/>
    </row>
    <row r="3" spans="1:14" ht="21" customHeight="1" x14ac:dyDescent="0.2">
      <c r="A3" s="28"/>
      <c r="B3" s="16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73"/>
      <c r="L3" s="174"/>
      <c r="M3" s="174"/>
      <c r="N3" s="34"/>
    </row>
    <row r="4" spans="1:14" ht="18" customHeight="1" x14ac:dyDescent="0.2">
      <c r="A4" s="28"/>
      <c r="B4" s="169"/>
      <c r="C4" s="74">
        <f>IF(DAY(NovDom1)=1,NovDom1-6,NovDom1+1)</f>
        <v>43402</v>
      </c>
      <c r="D4" s="74">
        <f>IF(DAY(NovDom1)=1,NovDom1-5,NovDom1+2)</f>
        <v>43403</v>
      </c>
      <c r="E4" s="74">
        <f>IF(DAY(NovDom1)=1,NovDom1-4,NovDom1+3)</f>
        <v>43404</v>
      </c>
      <c r="F4" s="73">
        <f>IF(DAY(NovDom1)=1,NovDom1-3,NovDom1+4)</f>
        <v>43405</v>
      </c>
      <c r="G4" s="73">
        <f>IF(DAY(NovDom1)=1,NovDom1-2,NovDom1+5)</f>
        <v>43406</v>
      </c>
      <c r="H4" s="73">
        <f>IF(DAY(NovDom1)=1,NovDom1-1,NovDom1+6)</f>
        <v>43407</v>
      </c>
      <c r="I4" s="73">
        <f>IF(DAY(NovDom1)=1,NovDom1,NovDom1+7)</f>
        <v>43408</v>
      </c>
      <c r="J4" s="33"/>
      <c r="K4" s="175" t="s">
        <v>12</v>
      </c>
      <c r="L4" s="48">
        <v>5</v>
      </c>
      <c r="M4" s="150" t="s">
        <v>60</v>
      </c>
      <c r="N4" s="151"/>
    </row>
    <row r="5" spans="1:14" ht="18" customHeight="1" x14ac:dyDescent="0.2">
      <c r="A5" s="28"/>
      <c r="B5" s="169"/>
      <c r="C5" s="73">
        <f>IF(DAY(NovDom1)=1,NovDom1+1,NovDom1+8)</f>
        <v>43409</v>
      </c>
      <c r="D5" s="73">
        <f>IF(DAY(NovDom1)=1,NovDom1+2,NovDom1+9)</f>
        <v>43410</v>
      </c>
      <c r="E5" s="73">
        <f>IF(DAY(NovDom1)=1,NovDom1+3,NovDom1+10)</f>
        <v>43411</v>
      </c>
      <c r="F5" s="73">
        <f>IF(DAY(NovDom1)=1,NovDom1+4,NovDom1+11)</f>
        <v>43412</v>
      </c>
      <c r="G5" s="73">
        <f>IF(DAY(NovDom1)=1,NovDom1+5,NovDom1+12)</f>
        <v>43413</v>
      </c>
      <c r="H5" s="73">
        <f>IF(DAY(NovDom1)=1,NovDom1+6,NovDom1+13)</f>
        <v>43414</v>
      </c>
      <c r="I5" s="73">
        <f>IF(DAY(NovDom1)=1,NovDom1+7,NovDom1+14)</f>
        <v>43415</v>
      </c>
      <c r="J5" s="33"/>
      <c r="K5" s="135"/>
      <c r="L5" s="49">
        <v>12</v>
      </c>
      <c r="M5" s="136" t="s">
        <v>60</v>
      </c>
      <c r="N5" s="137"/>
    </row>
    <row r="6" spans="1:14" ht="18" customHeight="1" x14ac:dyDescent="0.2">
      <c r="A6" s="28"/>
      <c r="B6" s="169"/>
      <c r="C6" s="73">
        <f>IF(DAY(NovDom1)=1,NovDom1+8,NovDom1+15)</f>
        <v>43416</v>
      </c>
      <c r="D6" s="73">
        <f>IF(DAY(NovDom1)=1,NovDom1+9,NovDom1+16)</f>
        <v>43417</v>
      </c>
      <c r="E6" s="73">
        <f>IF(DAY(NovDom1)=1,NovDom1+10,NovDom1+17)</f>
        <v>43418</v>
      </c>
      <c r="F6" s="73">
        <f>IF(DAY(NovDom1)=1,NovDom1+11,NovDom1+18)</f>
        <v>43419</v>
      </c>
      <c r="G6" s="73">
        <f>IF(DAY(NovDom1)=1,NovDom1+12,NovDom1+19)</f>
        <v>43420</v>
      </c>
      <c r="H6" s="73">
        <f>IF(DAY(NovDom1)=1,NovDom1+13,NovDom1+20)</f>
        <v>43421</v>
      </c>
      <c r="I6" s="73">
        <f>IF(DAY(NovDom1)=1,NovDom1+14,NovDom1+21)</f>
        <v>43422</v>
      </c>
      <c r="J6" s="33"/>
      <c r="K6" s="135"/>
      <c r="L6" s="49">
        <v>19</v>
      </c>
      <c r="M6" s="136" t="s">
        <v>60</v>
      </c>
      <c r="N6" s="137"/>
    </row>
    <row r="7" spans="1:14" ht="18.75" customHeight="1" x14ac:dyDescent="0.2">
      <c r="A7" s="28"/>
      <c r="B7" s="169"/>
      <c r="C7" s="73">
        <f>IF(DAY(NovDom1)=1,NovDom1+22,NovDom1+29)</f>
        <v>43430</v>
      </c>
      <c r="D7" s="73">
        <f>IF(DAY(NovDom1)=1,NovDom1+23,NovDom1+30)</f>
        <v>43431</v>
      </c>
      <c r="E7" s="73">
        <f>IF(DAY(NovDom1)=1,NovDom1+24,NovDom1+31)</f>
        <v>43432</v>
      </c>
      <c r="F7" s="73">
        <f>IF(DAY(NovDom1)=1,NovDom1+25,NovDom1+32)</f>
        <v>43433</v>
      </c>
      <c r="G7" s="73">
        <f>IF(DAY(NovDom1)=1,NovDom1+26,NovDom1+33)</f>
        <v>43434</v>
      </c>
      <c r="H7" s="70">
        <f>IF(DAY(NovDom1)=1,NovDom1+27,NovDom1+34)</f>
        <v>43435</v>
      </c>
      <c r="I7" s="70">
        <f>IF(DAY(NovDom1)=1,NovDom1+28,NovDom1+35)</f>
        <v>43436</v>
      </c>
      <c r="J7" s="33"/>
      <c r="K7" s="37"/>
      <c r="L7" s="49">
        <v>26</v>
      </c>
      <c r="M7" s="136" t="s">
        <v>73</v>
      </c>
      <c r="N7" s="137"/>
    </row>
    <row r="8" spans="1:14" ht="18" customHeight="1" x14ac:dyDescent="0.2">
      <c r="A8" s="28"/>
      <c r="B8" s="169"/>
      <c r="C8" s="70">
        <f>IF(DAY(NovDom1)=1,NovDom1+29,NovDom1+36)</f>
        <v>43437</v>
      </c>
      <c r="D8" s="70">
        <f>IF(DAY(NovDom1)=1,NovDom1+30,NovDom1+37)</f>
        <v>43438</v>
      </c>
      <c r="E8" s="70">
        <f>IF(DAY(NovDom1)=1,NovDom1+31,NovDom1+38)</f>
        <v>43439</v>
      </c>
      <c r="F8" s="70">
        <f>IF(DAY(NovDom1)=1,NovDom1+32,NovDom1+39)</f>
        <v>43440</v>
      </c>
      <c r="G8" s="70">
        <f>IF(DAY(NovDom1)=1,NovDom1+33,NovDom1+40)</f>
        <v>43441</v>
      </c>
      <c r="H8" s="70">
        <f>IF(DAY(NovDom1)=1,NovDom1+34,NovDom1+41)</f>
        <v>43442</v>
      </c>
      <c r="I8" s="70">
        <f>IF(DAY(NovDom1)=1,NovDom1+35,NovDom1+42)</f>
        <v>43443</v>
      </c>
      <c r="J8" s="33"/>
      <c r="K8" s="38"/>
      <c r="L8" s="50"/>
      <c r="M8" s="146"/>
      <c r="N8" s="147"/>
    </row>
    <row r="9" spans="1:14" ht="18" customHeight="1" x14ac:dyDescent="0.2">
      <c r="A9" s="28"/>
      <c r="B9" s="170"/>
      <c r="C9" s="39"/>
      <c r="D9" s="39"/>
      <c r="E9" s="39"/>
      <c r="F9" s="39"/>
      <c r="G9" s="71"/>
      <c r="H9" s="39"/>
      <c r="I9" s="39"/>
      <c r="J9" s="40"/>
      <c r="K9" s="134" t="s">
        <v>13</v>
      </c>
      <c r="L9" s="48">
        <v>6</v>
      </c>
      <c r="M9" s="150" t="s">
        <v>61</v>
      </c>
      <c r="N9" s="151"/>
    </row>
    <row r="10" spans="1:14" ht="18" customHeight="1" x14ac:dyDescent="0.2">
      <c r="A10" s="28"/>
      <c r="B10" s="162" t="s">
        <v>11</v>
      </c>
      <c r="C10" s="163"/>
      <c r="D10" s="163"/>
      <c r="E10" s="163"/>
      <c r="F10" s="163"/>
      <c r="G10" s="163"/>
      <c r="H10" s="163"/>
      <c r="I10" s="163"/>
      <c r="J10" s="164"/>
      <c r="K10" s="135"/>
      <c r="L10" s="49">
        <v>13</v>
      </c>
      <c r="M10" s="136" t="s">
        <v>65</v>
      </c>
      <c r="N10" s="137"/>
    </row>
    <row r="11" spans="1:14" ht="18" customHeight="1" x14ac:dyDescent="0.2">
      <c r="A11" s="28"/>
      <c r="B11" s="162"/>
      <c r="C11" s="163"/>
      <c r="D11" s="163"/>
      <c r="E11" s="163"/>
      <c r="F11" s="163"/>
      <c r="G11" s="163"/>
      <c r="H11" s="163"/>
      <c r="I11" s="163"/>
      <c r="J11" s="164"/>
      <c r="K11" s="135"/>
      <c r="L11" s="49">
        <v>20</v>
      </c>
      <c r="M11" s="136" t="s">
        <v>69</v>
      </c>
      <c r="N11" s="137"/>
    </row>
    <row r="12" spans="1:14" ht="18" customHeight="1" x14ac:dyDescent="0.2">
      <c r="B12" s="42"/>
      <c r="C12" s="148"/>
      <c r="D12" s="149"/>
      <c r="E12" s="148"/>
      <c r="F12" s="149"/>
      <c r="G12" s="148"/>
      <c r="H12" s="149"/>
      <c r="I12" s="154"/>
      <c r="J12" s="155"/>
      <c r="K12" s="37"/>
      <c r="L12" s="49">
        <v>27</v>
      </c>
      <c r="M12" s="136" t="s">
        <v>73</v>
      </c>
      <c r="N12" s="137"/>
    </row>
    <row r="13" spans="1:14" ht="18" customHeight="1" x14ac:dyDescent="0.2">
      <c r="B13" s="43"/>
      <c r="C13" s="144"/>
      <c r="D13" s="145"/>
      <c r="E13" s="144"/>
      <c r="F13" s="145"/>
      <c r="G13" s="144"/>
      <c r="H13" s="145"/>
      <c r="I13" s="154"/>
      <c r="J13" s="155"/>
      <c r="K13" s="44"/>
      <c r="L13" s="51"/>
      <c r="M13" s="146"/>
      <c r="N13" s="147"/>
    </row>
    <row r="14" spans="1:14" ht="18" customHeight="1" x14ac:dyDescent="0.2">
      <c r="B14" s="42"/>
      <c r="C14" s="148"/>
      <c r="D14" s="149"/>
      <c r="E14" s="148"/>
      <c r="F14" s="149"/>
      <c r="G14" s="148"/>
      <c r="H14" s="149"/>
      <c r="I14" s="154"/>
      <c r="J14" s="155"/>
      <c r="K14" s="152" t="s">
        <v>14</v>
      </c>
      <c r="L14" s="48"/>
      <c r="M14" s="150"/>
      <c r="N14" s="151"/>
    </row>
    <row r="15" spans="1:14" ht="18" customHeight="1" x14ac:dyDescent="0.2">
      <c r="B15" s="43"/>
      <c r="C15" s="144"/>
      <c r="D15" s="145"/>
      <c r="E15" s="144"/>
      <c r="F15" s="145"/>
      <c r="G15" s="144"/>
      <c r="H15" s="145"/>
      <c r="I15" s="154"/>
      <c r="J15" s="155"/>
      <c r="K15" s="153"/>
      <c r="L15" s="49">
        <v>7</v>
      </c>
      <c r="M15" s="136" t="s">
        <v>62</v>
      </c>
      <c r="N15" s="137"/>
    </row>
    <row r="16" spans="1:14" ht="18" customHeight="1" x14ac:dyDescent="0.2">
      <c r="B16" s="45"/>
      <c r="C16" s="158"/>
      <c r="D16" s="159"/>
      <c r="E16" s="158"/>
      <c r="F16" s="159"/>
      <c r="G16" s="158"/>
      <c r="H16" s="159"/>
      <c r="I16" s="154"/>
      <c r="J16" s="155"/>
      <c r="K16" s="153"/>
      <c r="L16" s="49">
        <v>14</v>
      </c>
      <c r="M16" s="136" t="s">
        <v>66</v>
      </c>
      <c r="N16" s="137"/>
    </row>
    <row r="17" spans="2:14" ht="18" customHeight="1" x14ac:dyDescent="0.2">
      <c r="B17" s="43"/>
      <c r="C17" s="144"/>
      <c r="D17" s="145"/>
      <c r="E17" s="144"/>
      <c r="F17" s="145"/>
      <c r="G17" s="144"/>
      <c r="H17" s="145"/>
      <c r="I17" s="154"/>
      <c r="J17" s="155"/>
      <c r="K17" s="37"/>
      <c r="L17" s="49">
        <v>21</v>
      </c>
      <c r="M17" s="136" t="s">
        <v>70</v>
      </c>
      <c r="N17" s="137"/>
    </row>
    <row r="18" spans="2:14" ht="18" customHeight="1" x14ac:dyDescent="0.2">
      <c r="B18" s="42"/>
      <c r="C18" s="148"/>
      <c r="D18" s="149"/>
      <c r="E18" s="148"/>
      <c r="F18" s="149"/>
      <c r="G18" s="148"/>
      <c r="H18" s="149"/>
      <c r="I18" s="154"/>
      <c r="J18" s="155"/>
      <c r="K18" s="37"/>
      <c r="L18" s="49">
        <v>28</v>
      </c>
      <c r="M18" s="136" t="s">
        <v>62</v>
      </c>
      <c r="N18" s="137"/>
    </row>
    <row r="19" spans="2:14" ht="18" customHeight="1" x14ac:dyDescent="0.2">
      <c r="B19" s="43"/>
      <c r="C19" s="144"/>
      <c r="D19" s="145"/>
      <c r="E19" s="144"/>
      <c r="F19" s="145"/>
      <c r="G19" s="144"/>
      <c r="H19" s="145"/>
      <c r="I19" s="154"/>
      <c r="J19" s="155"/>
      <c r="K19" s="44"/>
      <c r="L19" s="51"/>
      <c r="M19" s="146"/>
      <c r="N19" s="147"/>
    </row>
    <row r="20" spans="2:14" ht="18" customHeight="1" x14ac:dyDescent="0.2">
      <c r="B20" s="42"/>
      <c r="C20" s="148"/>
      <c r="D20" s="149"/>
      <c r="E20" s="148"/>
      <c r="F20" s="149"/>
      <c r="G20" s="148"/>
      <c r="H20" s="149"/>
      <c r="I20" s="154"/>
      <c r="J20" s="155"/>
      <c r="K20" s="152" t="s">
        <v>15</v>
      </c>
      <c r="L20" s="48">
        <v>1</v>
      </c>
      <c r="M20" s="150" t="s">
        <v>57</v>
      </c>
      <c r="N20" s="151"/>
    </row>
    <row r="21" spans="2:14" ht="18" customHeight="1" x14ac:dyDescent="0.2">
      <c r="B21" s="43"/>
      <c r="C21" s="144"/>
      <c r="D21" s="145"/>
      <c r="E21" s="144"/>
      <c r="F21" s="145"/>
      <c r="G21" s="144"/>
      <c r="H21" s="145"/>
      <c r="I21" s="154"/>
      <c r="J21" s="155"/>
      <c r="K21" s="153"/>
      <c r="L21" s="49">
        <v>8</v>
      </c>
      <c r="M21" s="136" t="s">
        <v>63</v>
      </c>
      <c r="N21" s="137"/>
    </row>
    <row r="22" spans="2:14" ht="18" customHeight="1" x14ac:dyDescent="0.2">
      <c r="B22" s="42"/>
      <c r="C22" s="148"/>
      <c r="D22" s="149"/>
      <c r="E22" s="148"/>
      <c r="F22" s="149"/>
      <c r="G22" s="148"/>
      <c r="H22" s="149"/>
      <c r="I22" s="154"/>
      <c r="J22" s="155"/>
      <c r="K22" s="153"/>
      <c r="L22" s="49">
        <v>15</v>
      </c>
      <c r="M22" s="136" t="s">
        <v>67</v>
      </c>
      <c r="N22" s="137"/>
    </row>
    <row r="23" spans="2:14" ht="18" customHeight="1" x14ac:dyDescent="0.2">
      <c r="B23" s="43"/>
      <c r="C23" s="144"/>
      <c r="D23" s="145"/>
      <c r="E23" s="144"/>
      <c r="F23" s="145"/>
      <c r="G23" s="144"/>
      <c r="H23" s="145"/>
      <c r="I23" s="154"/>
      <c r="J23" s="155"/>
      <c r="K23" s="153"/>
      <c r="L23" s="49">
        <v>22</v>
      </c>
      <c r="M23" s="136" t="s">
        <v>71</v>
      </c>
      <c r="N23" s="137"/>
    </row>
    <row r="24" spans="2:14" ht="18" customHeight="1" x14ac:dyDescent="0.2">
      <c r="B24" s="42"/>
      <c r="C24" s="148"/>
      <c r="D24" s="149"/>
      <c r="E24" s="148"/>
      <c r="F24" s="149"/>
      <c r="G24" s="148"/>
      <c r="H24" s="149"/>
      <c r="I24" s="154"/>
      <c r="J24" s="155"/>
      <c r="K24" s="37"/>
      <c r="L24" s="49">
        <v>29</v>
      </c>
      <c r="M24" s="136" t="s">
        <v>74</v>
      </c>
      <c r="N24" s="137"/>
    </row>
    <row r="25" spans="2:14" ht="18" customHeight="1" x14ac:dyDescent="0.2">
      <c r="B25" s="43"/>
      <c r="C25" s="144"/>
      <c r="D25" s="145"/>
      <c r="E25" s="144"/>
      <c r="F25" s="145"/>
      <c r="G25" s="144"/>
      <c r="H25" s="145"/>
      <c r="I25" s="156"/>
      <c r="J25" s="157"/>
      <c r="K25" s="44"/>
      <c r="L25" s="51"/>
      <c r="M25" s="146" t="s">
        <v>28</v>
      </c>
      <c r="N25" s="147"/>
    </row>
    <row r="26" spans="2:14" ht="18" customHeight="1" x14ac:dyDescent="0.2">
      <c r="B26" s="138" t="s">
        <v>29</v>
      </c>
      <c r="C26" s="139"/>
      <c r="D26" s="139"/>
      <c r="E26" s="139"/>
      <c r="F26" s="139"/>
      <c r="G26" s="139"/>
      <c r="H26" s="139"/>
      <c r="I26" s="139"/>
      <c r="J26" s="140"/>
      <c r="K26" s="134" t="s">
        <v>16</v>
      </c>
      <c r="L26" s="48">
        <v>2</v>
      </c>
      <c r="M26" s="150" t="s">
        <v>58</v>
      </c>
      <c r="N26" s="151"/>
    </row>
    <row r="27" spans="2:14" ht="18" customHeight="1" x14ac:dyDescent="0.2">
      <c r="B27" s="141"/>
      <c r="C27" s="142"/>
      <c r="D27" s="142"/>
      <c r="E27" s="142"/>
      <c r="F27" s="142"/>
      <c r="G27" s="142"/>
      <c r="H27" s="142"/>
      <c r="I27" s="142"/>
      <c r="J27" s="143"/>
      <c r="K27" s="135"/>
      <c r="L27" s="49">
        <v>9</v>
      </c>
      <c r="M27" s="136" t="s">
        <v>64</v>
      </c>
      <c r="N27" s="137"/>
    </row>
    <row r="28" spans="2:14" ht="18" customHeight="1" x14ac:dyDescent="0.2">
      <c r="B28" s="141"/>
      <c r="C28" s="142"/>
      <c r="D28" s="142"/>
      <c r="E28" s="142"/>
      <c r="F28" s="142"/>
      <c r="G28" s="142"/>
      <c r="H28" s="142"/>
      <c r="I28" s="142"/>
      <c r="J28" s="143"/>
      <c r="K28" s="135"/>
      <c r="L28" s="49">
        <v>16</v>
      </c>
      <c r="M28" s="136" t="s">
        <v>68</v>
      </c>
      <c r="N28" s="137"/>
    </row>
    <row r="29" spans="2:14" ht="18" customHeight="1" x14ac:dyDescent="0.2">
      <c r="B29" s="60"/>
      <c r="C29" s="61"/>
      <c r="D29" s="61"/>
      <c r="E29" s="61"/>
      <c r="F29" s="61"/>
      <c r="G29" s="61"/>
      <c r="H29" s="61"/>
      <c r="I29" s="61"/>
      <c r="J29" s="62"/>
      <c r="K29" s="56"/>
      <c r="L29" s="49">
        <v>23</v>
      </c>
      <c r="M29" s="57" t="s">
        <v>72</v>
      </c>
      <c r="N29" s="58"/>
    </row>
    <row r="30" spans="2:14" ht="18" customHeight="1" x14ac:dyDescent="0.2">
      <c r="B30" s="60"/>
      <c r="C30" s="61"/>
      <c r="D30" s="61"/>
      <c r="E30" s="61"/>
      <c r="F30" s="61"/>
      <c r="G30" s="61"/>
      <c r="H30" s="61"/>
      <c r="I30" s="61"/>
      <c r="J30" s="62"/>
      <c r="K30" s="56"/>
      <c r="L30" s="49">
        <v>30</v>
      </c>
      <c r="M30" s="57" t="s">
        <v>74</v>
      </c>
      <c r="N30" s="58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56"/>
      <c r="L31" s="49"/>
      <c r="M31" s="57"/>
      <c r="N31" s="58"/>
    </row>
    <row r="32" spans="2:14" ht="18" customHeight="1" x14ac:dyDescent="0.2">
      <c r="B32" s="43"/>
      <c r="C32" s="144"/>
      <c r="D32" s="145"/>
      <c r="E32" s="144"/>
      <c r="F32" s="145"/>
      <c r="G32" s="144"/>
      <c r="H32" s="145"/>
      <c r="I32" s="144"/>
      <c r="J32" s="180"/>
      <c r="K32" s="134" t="s">
        <v>32</v>
      </c>
      <c r="L32" s="49">
        <v>3</v>
      </c>
      <c r="M32" s="136" t="s">
        <v>59</v>
      </c>
      <c r="N32" s="137"/>
    </row>
    <row r="33" spans="2:14" ht="18" customHeight="1" x14ac:dyDescent="0.2">
      <c r="B33" s="42"/>
      <c r="C33" s="148"/>
      <c r="D33" s="149"/>
      <c r="E33" s="148"/>
      <c r="F33" s="149"/>
      <c r="G33" s="148"/>
      <c r="H33" s="149"/>
      <c r="I33" s="181"/>
      <c r="J33" s="182"/>
      <c r="K33" s="135"/>
      <c r="L33" s="36"/>
      <c r="M33" s="183"/>
      <c r="N33" s="184"/>
    </row>
    <row r="34" spans="2:14" ht="18" customHeight="1" x14ac:dyDescent="0.2">
      <c r="B34" s="46"/>
      <c r="C34" s="128"/>
      <c r="D34" s="129"/>
      <c r="E34" s="128"/>
      <c r="F34" s="129"/>
      <c r="G34" s="128"/>
      <c r="H34" s="129"/>
      <c r="I34" s="130"/>
      <c r="J34" s="131"/>
      <c r="K34" s="135"/>
      <c r="L34" s="47"/>
      <c r="M34" s="132"/>
      <c r="N34" s="133"/>
    </row>
  </sheetData>
  <mergeCells count="93">
    <mergeCell ref="M7:N7"/>
    <mergeCell ref="C12:D12"/>
    <mergeCell ref="E12:F12"/>
    <mergeCell ref="G12:H12"/>
    <mergeCell ref="M12:N12"/>
    <mergeCell ref="M9:N9"/>
    <mergeCell ref="B10:J11"/>
    <mergeCell ref="M10:N10"/>
    <mergeCell ref="M11:N11"/>
    <mergeCell ref="B2:B9"/>
    <mergeCell ref="K2:M3"/>
    <mergeCell ref="K4:K6"/>
    <mergeCell ref="M8:N8"/>
    <mergeCell ref="K9:K11"/>
    <mergeCell ref="M4:N4"/>
    <mergeCell ref="M5:N5"/>
    <mergeCell ref="M6:N6"/>
    <mergeCell ref="C13:D13"/>
    <mergeCell ref="E13:F13"/>
    <mergeCell ref="G13:H13"/>
    <mergeCell ref="M13:N13"/>
    <mergeCell ref="I12:J25"/>
    <mergeCell ref="M15:N15"/>
    <mergeCell ref="C16:D16"/>
    <mergeCell ref="E16:F16"/>
    <mergeCell ref="G16:H16"/>
    <mergeCell ref="M16:N16"/>
    <mergeCell ref="C14:D14"/>
    <mergeCell ref="E14:F14"/>
    <mergeCell ref="G14:H14"/>
    <mergeCell ref="K14:K16"/>
    <mergeCell ref="M14:N14"/>
    <mergeCell ref="C15:D15"/>
    <mergeCell ref="E15:F15"/>
    <mergeCell ref="G15:H15"/>
    <mergeCell ref="C17:D17"/>
    <mergeCell ref="E17:F17"/>
    <mergeCell ref="G17:H17"/>
    <mergeCell ref="M17:N17"/>
    <mergeCell ref="C18:D18"/>
    <mergeCell ref="E18:F18"/>
    <mergeCell ref="G18:H18"/>
    <mergeCell ref="M18:N18"/>
    <mergeCell ref="M20:N20"/>
    <mergeCell ref="C21:D21"/>
    <mergeCell ref="E21:F21"/>
    <mergeCell ref="G21:H21"/>
    <mergeCell ref="M21:N21"/>
    <mergeCell ref="C19:D19"/>
    <mergeCell ref="E19:F19"/>
    <mergeCell ref="G19:H19"/>
    <mergeCell ref="M19:N19"/>
    <mergeCell ref="C20:D20"/>
    <mergeCell ref="E20:F20"/>
    <mergeCell ref="G20:H20"/>
    <mergeCell ref="K20:K23"/>
    <mergeCell ref="C22:D22"/>
    <mergeCell ref="E22:F22"/>
    <mergeCell ref="G22:H22"/>
    <mergeCell ref="M22:N22"/>
    <mergeCell ref="C23:D23"/>
    <mergeCell ref="E23:F23"/>
    <mergeCell ref="G23:H23"/>
    <mergeCell ref="M23:N23"/>
    <mergeCell ref="M27:N27"/>
    <mergeCell ref="M28:N28"/>
    <mergeCell ref="K26:K28"/>
    <mergeCell ref="M26:N26"/>
    <mergeCell ref="B26:J28"/>
    <mergeCell ref="C24:D24"/>
    <mergeCell ref="E24:F24"/>
    <mergeCell ref="G24:H24"/>
    <mergeCell ref="M24:N24"/>
    <mergeCell ref="C25:D25"/>
    <mergeCell ref="E25:F25"/>
    <mergeCell ref="G25:H25"/>
    <mergeCell ref="M25:N25"/>
    <mergeCell ref="C34:D34"/>
    <mergeCell ref="E34:F34"/>
    <mergeCell ref="G34:H34"/>
    <mergeCell ref="I34:J34"/>
    <mergeCell ref="M34:N34"/>
    <mergeCell ref="K32:K34"/>
    <mergeCell ref="C32:D32"/>
    <mergeCell ref="E32:F32"/>
    <mergeCell ref="G32:H32"/>
    <mergeCell ref="I32:J32"/>
    <mergeCell ref="M32:N32"/>
    <mergeCell ref="C33:D33"/>
    <mergeCell ref="E33:F33"/>
    <mergeCell ref="G33:H33"/>
    <mergeCell ref="I33:J33"/>
    <mergeCell ref="M33:N33"/>
  </mergeCells>
  <conditionalFormatting sqref="C4:H4">
    <cfRule type="expression" dxfId="9" priority="4" stopIfTrue="1">
      <formula>DAY(C4)&gt;8</formula>
    </cfRule>
  </conditionalFormatting>
  <conditionalFormatting sqref="C7:I9">
    <cfRule type="expression" dxfId="8" priority="3" stopIfTrue="1">
      <formula>AND(DAY(C7)&gt;=1,DAY(C7)&lt;=15)</formula>
    </cfRule>
  </conditionalFormatting>
  <conditionalFormatting sqref="C4:I8">
    <cfRule type="expression" dxfId="7" priority="5">
      <formula>VLOOKUP(DAY(C4),DíasDeTareas,1,FALSE)=DAY(C4)</formula>
    </cfRule>
  </conditionalFormatting>
  <conditionalFormatting sqref="B13:H25 B32:J34 B12:I12">
    <cfRule type="expression" dxfId="6" priority="2">
      <formula>B12&lt;&gt;""</formula>
    </cfRule>
  </conditionalFormatting>
  <conditionalFormatting sqref="B26">
    <cfRule type="expression" dxfId="5" priority="1">
      <formula>B26&lt;&gt;""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5"/>
  <sheetViews>
    <sheetView showGridLines="0" tabSelected="1" zoomScaleNormal="100" zoomScalePageLayoutView="84" workbookViewId="0">
      <selection activeCell="O25" sqref="O25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5" width="47.8554687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68" t="s">
        <v>10</v>
      </c>
      <c r="C2" s="29"/>
      <c r="D2" s="29"/>
      <c r="E2" s="29"/>
      <c r="F2" s="29"/>
      <c r="G2" s="29"/>
      <c r="H2" s="29"/>
      <c r="I2" s="29"/>
      <c r="J2" s="30"/>
      <c r="K2" s="171" t="s">
        <v>3</v>
      </c>
      <c r="L2" s="172">
        <v>2013</v>
      </c>
      <c r="M2" s="172"/>
      <c r="N2" s="31"/>
    </row>
    <row r="3" spans="1:14" ht="21" customHeight="1" x14ac:dyDescent="0.2">
      <c r="A3" s="28"/>
      <c r="B3" s="16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73"/>
      <c r="L3" s="174"/>
      <c r="M3" s="174"/>
      <c r="N3" s="34"/>
    </row>
    <row r="4" spans="1:14" ht="18" customHeight="1" x14ac:dyDescent="0.2">
      <c r="A4" s="28"/>
      <c r="B4" s="169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73">
        <f>IF(DAY(DicDom1)=1,DicDom1-1,DicDom1+6)</f>
        <v>43435</v>
      </c>
      <c r="I4" s="73">
        <f>IF(DAY(DicDom1)=1,DicDom1,DicDom1+7)</f>
        <v>43436</v>
      </c>
      <c r="J4" s="33"/>
      <c r="K4" s="175" t="s">
        <v>12</v>
      </c>
      <c r="L4" s="48"/>
      <c r="M4" s="176"/>
      <c r="N4" s="177"/>
    </row>
    <row r="5" spans="1:14" ht="18" customHeight="1" x14ac:dyDescent="0.2">
      <c r="A5" s="28"/>
      <c r="B5" s="169"/>
      <c r="C5" s="35">
        <f>IF(DAY(DicDom1)=1,DicDom1+1,DicDom1+8)</f>
        <v>43437</v>
      </c>
      <c r="D5" s="70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73">
        <f>IF(DAY(DicDom1)=1,DicDom1+6,DicDom1+13)</f>
        <v>43442</v>
      </c>
      <c r="I5" s="73">
        <f>IF(DAY(DicDom1)=1,DicDom1+7,DicDom1+14)</f>
        <v>43443</v>
      </c>
      <c r="J5" s="33"/>
      <c r="K5" s="135"/>
      <c r="L5" s="49"/>
      <c r="M5" s="136"/>
      <c r="N5" s="137"/>
    </row>
    <row r="6" spans="1:14" ht="18" customHeight="1" x14ac:dyDescent="0.2">
      <c r="A6" s="28"/>
      <c r="B6" s="169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73">
        <f>IF(DAY(DicDom1)=1,DicDom1+13,DicDom1+20)</f>
        <v>43449</v>
      </c>
      <c r="I6" s="73">
        <f>IF(DAY(DicDom1)=1,DicDom1+14,DicDom1+21)</f>
        <v>43450</v>
      </c>
      <c r="J6" s="33"/>
      <c r="K6" s="135"/>
      <c r="L6" s="49"/>
      <c r="M6" s="136"/>
      <c r="N6" s="137"/>
    </row>
    <row r="7" spans="1:14" ht="18" customHeight="1" x14ac:dyDescent="0.2">
      <c r="A7" s="28"/>
      <c r="B7" s="169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73">
        <f>IF(DAY(DicDom1)=1,DicDom1+20,DicDom1+27)</f>
        <v>43456</v>
      </c>
      <c r="I7" s="73">
        <f>IF(DAY(DicDom1)=1,DicDom1+21,DicDom1+28)</f>
        <v>43457</v>
      </c>
      <c r="J7" s="33"/>
      <c r="K7" s="37"/>
      <c r="L7" s="49"/>
      <c r="M7" s="136"/>
      <c r="N7" s="137"/>
    </row>
    <row r="8" spans="1:14" ht="18.75" customHeight="1" x14ac:dyDescent="0.2">
      <c r="A8" s="28"/>
      <c r="B8" s="169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73">
        <f>IF(DAY(DicDom1)=1,DicDom1+27,DicDom1+34)</f>
        <v>43463</v>
      </c>
      <c r="I8" s="73">
        <f>IF(DAY(DicDom1)=1,DicDom1+28,DicDom1+35)</f>
        <v>43464</v>
      </c>
      <c r="J8" s="33"/>
      <c r="K8" s="37"/>
      <c r="L8" s="49"/>
      <c r="M8" s="136"/>
      <c r="N8" s="137"/>
    </row>
    <row r="9" spans="1:14" ht="18" customHeight="1" x14ac:dyDescent="0.2">
      <c r="A9" s="28"/>
      <c r="B9" s="169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8"/>
      <c r="L9" s="50"/>
      <c r="M9" s="146"/>
      <c r="N9" s="147"/>
    </row>
    <row r="10" spans="1:14" ht="18" customHeight="1" x14ac:dyDescent="0.2">
      <c r="A10" s="28"/>
      <c r="B10" s="170"/>
      <c r="C10" s="39"/>
      <c r="D10" s="39"/>
      <c r="E10" s="39"/>
      <c r="F10" s="39"/>
      <c r="G10" s="39"/>
      <c r="H10" s="39"/>
      <c r="I10" s="39"/>
      <c r="J10" s="40"/>
      <c r="K10" s="134" t="s">
        <v>13</v>
      </c>
      <c r="L10" s="48"/>
      <c r="M10" s="150"/>
      <c r="N10" s="151"/>
    </row>
    <row r="11" spans="1:14" ht="18" customHeight="1" x14ac:dyDescent="0.2">
      <c r="A11" s="28"/>
      <c r="B11" s="162" t="s">
        <v>11</v>
      </c>
      <c r="C11" s="163"/>
      <c r="D11" s="163"/>
      <c r="E11" s="163"/>
      <c r="F11" s="163"/>
      <c r="G11" s="163"/>
      <c r="H11" s="163"/>
      <c r="I11" s="163"/>
      <c r="J11" s="164"/>
      <c r="K11" s="135"/>
      <c r="L11" s="49"/>
      <c r="M11" s="136"/>
      <c r="N11" s="137"/>
    </row>
    <row r="12" spans="1:14" ht="18" customHeight="1" x14ac:dyDescent="0.2">
      <c r="A12" s="28"/>
      <c r="B12" s="162"/>
      <c r="C12" s="163"/>
      <c r="D12" s="163"/>
      <c r="E12" s="163"/>
      <c r="F12" s="163"/>
      <c r="G12" s="163"/>
      <c r="H12" s="163"/>
      <c r="I12" s="163"/>
      <c r="J12" s="164"/>
      <c r="K12" s="135"/>
      <c r="L12" s="49"/>
      <c r="M12" s="136"/>
      <c r="N12" s="137"/>
    </row>
    <row r="13" spans="1:14" ht="18" customHeight="1" x14ac:dyDescent="0.2">
      <c r="B13" s="41" t="s">
        <v>12</v>
      </c>
      <c r="C13" s="165" t="s">
        <v>13</v>
      </c>
      <c r="D13" s="166"/>
      <c r="E13" s="165" t="s">
        <v>14</v>
      </c>
      <c r="F13" s="166"/>
      <c r="G13" s="165" t="s">
        <v>15</v>
      </c>
      <c r="H13" s="166"/>
      <c r="I13" s="165" t="s">
        <v>16</v>
      </c>
      <c r="J13" s="167"/>
      <c r="K13" s="37"/>
      <c r="L13" s="49"/>
      <c r="M13" s="136"/>
      <c r="N13" s="137"/>
    </row>
    <row r="14" spans="1:14" ht="18" customHeight="1" x14ac:dyDescent="0.2">
      <c r="B14" s="42"/>
      <c r="C14" s="148"/>
      <c r="D14" s="149"/>
      <c r="E14" s="148"/>
      <c r="F14" s="149"/>
      <c r="G14" s="148"/>
      <c r="H14" s="149"/>
      <c r="I14" s="154"/>
      <c r="J14" s="155"/>
      <c r="K14" s="37"/>
      <c r="L14" s="49"/>
      <c r="M14" s="136"/>
      <c r="N14" s="137"/>
    </row>
    <row r="15" spans="1:14" ht="18" customHeight="1" x14ac:dyDescent="0.2">
      <c r="B15" s="43"/>
      <c r="C15" s="144"/>
      <c r="D15" s="145"/>
      <c r="E15" s="144"/>
      <c r="F15" s="145"/>
      <c r="G15" s="144"/>
      <c r="H15" s="145"/>
      <c r="I15" s="154"/>
      <c r="J15" s="155"/>
      <c r="K15" s="44"/>
      <c r="L15" s="51"/>
      <c r="M15" s="146"/>
      <c r="N15" s="147"/>
    </row>
    <row r="16" spans="1:14" ht="18" customHeight="1" x14ac:dyDescent="0.2">
      <c r="B16" s="42"/>
      <c r="C16" s="148"/>
      <c r="D16" s="149"/>
      <c r="E16" s="148"/>
      <c r="F16" s="149"/>
      <c r="G16" s="148"/>
      <c r="H16" s="149"/>
      <c r="I16" s="154"/>
      <c r="J16" s="155"/>
      <c r="K16" s="152" t="s">
        <v>14</v>
      </c>
      <c r="L16" s="48"/>
      <c r="M16" s="150"/>
      <c r="N16" s="151"/>
    </row>
    <row r="17" spans="2:14" ht="18" customHeight="1" x14ac:dyDescent="0.2">
      <c r="B17" s="43"/>
      <c r="C17" s="144"/>
      <c r="D17" s="145"/>
      <c r="E17" s="144"/>
      <c r="F17" s="145"/>
      <c r="G17" s="144"/>
      <c r="H17" s="145"/>
      <c r="I17" s="154"/>
      <c r="J17" s="155"/>
      <c r="K17" s="153"/>
      <c r="L17" s="49"/>
      <c r="M17" s="136"/>
      <c r="N17" s="137"/>
    </row>
    <row r="18" spans="2:14" ht="18" customHeight="1" x14ac:dyDescent="0.2">
      <c r="B18" s="45"/>
      <c r="C18" s="158"/>
      <c r="D18" s="159"/>
      <c r="E18" s="158"/>
      <c r="F18" s="159"/>
      <c r="G18" s="158"/>
      <c r="H18" s="159"/>
      <c r="I18" s="154"/>
      <c r="J18" s="155"/>
      <c r="K18" s="153"/>
      <c r="L18" s="49"/>
      <c r="M18" s="136"/>
      <c r="N18" s="137"/>
    </row>
    <row r="19" spans="2:14" ht="18" customHeight="1" x14ac:dyDescent="0.2">
      <c r="B19" s="43"/>
      <c r="C19" s="144"/>
      <c r="D19" s="145"/>
      <c r="E19" s="144"/>
      <c r="F19" s="145"/>
      <c r="G19" s="144"/>
      <c r="H19" s="145"/>
      <c r="I19" s="154"/>
      <c r="J19" s="155"/>
      <c r="K19" s="37"/>
      <c r="L19" s="49"/>
      <c r="M19" s="136"/>
      <c r="N19" s="137"/>
    </row>
    <row r="20" spans="2:14" ht="18" customHeight="1" x14ac:dyDescent="0.2">
      <c r="B20" s="42"/>
      <c r="C20" s="148"/>
      <c r="D20" s="149"/>
      <c r="E20" s="148"/>
      <c r="F20" s="149"/>
      <c r="G20" s="148"/>
      <c r="H20" s="149"/>
      <c r="I20" s="154"/>
      <c r="J20" s="155"/>
      <c r="K20" s="37"/>
      <c r="L20" s="49"/>
      <c r="M20" s="136"/>
      <c r="N20" s="137"/>
    </row>
    <row r="21" spans="2:14" ht="18" customHeight="1" x14ac:dyDescent="0.2">
      <c r="B21" s="43"/>
      <c r="C21" s="144"/>
      <c r="D21" s="145"/>
      <c r="E21" s="144"/>
      <c r="F21" s="145"/>
      <c r="G21" s="144"/>
      <c r="H21" s="145"/>
      <c r="I21" s="154"/>
      <c r="J21" s="155"/>
      <c r="K21" s="44"/>
      <c r="L21" s="51"/>
      <c r="M21" s="146"/>
      <c r="N21" s="147"/>
    </row>
    <row r="22" spans="2:14" ht="18" customHeight="1" x14ac:dyDescent="0.2">
      <c r="B22" s="42"/>
      <c r="C22" s="148"/>
      <c r="D22" s="149"/>
      <c r="E22" s="148"/>
      <c r="F22" s="149"/>
      <c r="G22" s="148"/>
      <c r="H22" s="149"/>
      <c r="I22" s="154"/>
      <c r="J22" s="155"/>
      <c r="K22" s="152" t="s">
        <v>15</v>
      </c>
      <c r="L22" s="48"/>
      <c r="M22" s="150"/>
      <c r="N22" s="151"/>
    </row>
    <row r="23" spans="2:14" ht="18" customHeight="1" x14ac:dyDescent="0.2">
      <c r="B23" s="43"/>
      <c r="C23" s="144"/>
      <c r="D23" s="145"/>
      <c r="E23" s="144"/>
      <c r="F23" s="145"/>
      <c r="G23" s="144"/>
      <c r="H23" s="145"/>
      <c r="I23" s="154"/>
      <c r="J23" s="155"/>
      <c r="K23" s="153"/>
      <c r="L23" s="49"/>
      <c r="M23" s="136"/>
      <c r="N23" s="137"/>
    </row>
    <row r="24" spans="2:14" ht="18" customHeight="1" x14ac:dyDescent="0.2">
      <c r="B24" s="42"/>
      <c r="C24" s="148"/>
      <c r="D24" s="149"/>
      <c r="E24" s="148"/>
      <c r="F24" s="149"/>
      <c r="G24" s="148"/>
      <c r="H24" s="149"/>
      <c r="I24" s="154"/>
      <c r="J24" s="155"/>
      <c r="K24" s="153"/>
      <c r="L24" s="49"/>
      <c r="M24" s="136"/>
      <c r="N24" s="137"/>
    </row>
    <row r="25" spans="2:14" ht="18" customHeight="1" x14ac:dyDescent="0.2">
      <c r="B25" s="43"/>
      <c r="C25" s="144"/>
      <c r="D25" s="145"/>
      <c r="E25" s="144"/>
      <c r="F25" s="145"/>
      <c r="G25" s="144"/>
      <c r="H25" s="145"/>
      <c r="I25" s="154"/>
      <c r="J25" s="155"/>
      <c r="K25" s="153"/>
      <c r="L25" s="49"/>
      <c r="M25" s="55"/>
    </row>
    <row r="26" spans="2:14" ht="18" customHeight="1" x14ac:dyDescent="0.2">
      <c r="B26" s="42"/>
      <c r="C26" s="148"/>
      <c r="D26" s="149"/>
      <c r="E26" s="148"/>
      <c r="F26" s="149"/>
      <c r="G26" s="148"/>
      <c r="H26" s="149"/>
      <c r="I26" s="154"/>
      <c r="J26" s="155"/>
      <c r="K26" s="37"/>
      <c r="L26" s="49"/>
      <c r="M26" s="176"/>
      <c r="N26" s="177"/>
    </row>
    <row r="27" spans="2:14" ht="18" customHeight="1" x14ac:dyDescent="0.2">
      <c r="B27" s="43"/>
      <c r="C27" s="144"/>
      <c r="D27" s="145"/>
      <c r="E27" s="144"/>
      <c r="F27" s="145"/>
      <c r="G27" s="144"/>
      <c r="H27" s="145"/>
      <c r="I27" s="154"/>
      <c r="J27" s="155"/>
      <c r="K27" s="44"/>
      <c r="L27" s="51"/>
      <c r="M27" s="146"/>
      <c r="N27" s="147"/>
    </row>
    <row r="28" spans="2:14" ht="18" customHeight="1" x14ac:dyDescent="0.2">
      <c r="B28" s="42"/>
      <c r="C28" s="148"/>
      <c r="D28" s="149"/>
      <c r="E28" s="148"/>
      <c r="F28" s="149"/>
      <c r="G28" s="148"/>
      <c r="H28" s="149"/>
      <c r="I28" s="154"/>
      <c r="J28" s="155"/>
      <c r="K28" s="134" t="s">
        <v>16</v>
      </c>
      <c r="L28" s="48"/>
      <c r="M28" s="150"/>
      <c r="N28" s="151"/>
    </row>
    <row r="29" spans="2:14" ht="18" customHeight="1" x14ac:dyDescent="0.2">
      <c r="B29" s="43"/>
      <c r="C29" s="144"/>
      <c r="D29" s="145"/>
      <c r="E29" s="144"/>
      <c r="F29" s="145"/>
      <c r="G29" s="144"/>
      <c r="H29" s="145"/>
      <c r="I29" s="154"/>
      <c r="J29" s="155"/>
      <c r="K29" s="135"/>
      <c r="L29" s="49"/>
      <c r="M29" s="136"/>
      <c r="N29" s="137"/>
    </row>
    <row r="30" spans="2:14" ht="18" customHeight="1" x14ac:dyDescent="0.2">
      <c r="B30" s="42"/>
      <c r="C30" s="148"/>
      <c r="D30" s="149"/>
      <c r="E30" s="148"/>
      <c r="F30" s="149"/>
      <c r="G30" s="148"/>
      <c r="H30" s="149"/>
      <c r="I30" s="156"/>
      <c r="J30" s="157"/>
      <c r="K30" s="135"/>
      <c r="L30" s="49"/>
      <c r="M30" s="136"/>
      <c r="N30" s="137"/>
    </row>
    <row r="31" spans="2:14" ht="18" customHeight="1" x14ac:dyDescent="0.2">
      <c r="B31" s="75"/>
      <c r="C31" s="76"/>
      <c r="D31" s="76"/>
      <c r="E31" s="76"/>
      <c r="F31" s="76"/>
      <c r="G31" s="76"/>
      <c r="H31" s="76"/>
      <c r="I31" s="66"/>
      <c r="J31" s="59"/>
      <c r="K31" s="56"/>
      <c r="L31" s="49"/>
      <c r="M31" s="57"/>
      <c r="N31" s="58"/>
    </row>
    <row r="32" spans="2:14" ht="18" customHeight="1" x14ac:dyDescent="0.2">
      <c r="B32" s="75"/>
      <c r="C32" s="76"/>
      <c r="D32" s="76"/>
      <c r="E32" s="76"/>
      <c r="F32" s="76"/>
      <c r="G32" s="76"/>
      <c r="H32" s="76"/>
      <c r="I32" s="66"/>
      <c r="J32" s="59"/>
      <c r="K32" s="56"/>
      <c r="L32" s="49"/>
      <c r="M32" s="57"/>
      <c r="N32" s="58"/>
    </row>
    <row r="33" spans="2:14" ht="18" customHeight="1" x14ac:dyDescent="0.2">
      <c r="B33" s="138" t="s">
        <v>29</v>
      </c>
      <c r="C33" s="139"/>
      <c r="D33" s="139"/>
      <c r="E33" s="139"/>
      <c r="F33" s="139"/>
      <c r="G33" s="139"/>
      <c r="H33" s="139"/>
      <c r="I33" s="139"/>
      <c r="J33" s="140"/>
      <c r="K33" s="134" t="s">
        <v>32</v>
      </c>
      <c r="L33" s="49"/>
      <c r="M33" s="136"/>
      <c r="N33" s="137"/>
    </row>
    <row r="34" spans="2:14" ht="18" customHeight="1" x14ac:dyDescent="0.2">
      <c r="B34" s="141"/>
      <c r="C34" s="142"/>
      <c r="D34" s="142"/>
      <c r="E34" s="142"/>
      <c r="F34" s="142"/>
      <c r="G34" s="142"/>
      <c r="H34" s="142"/>
      <c r="I34" s="142"/>
      <c r="J34" s="143"/>
      <c r="K34" s="135"/>
      <c r="L34" s="49"/>
      <c r="M34" s="136"/>
      <c r="N34" s="137"/>
    </row>
    <row r="35" spans="2:14" ht="18" customHeight="1" x14ac:dyDescent="0.2">
      <c r="B35" s="141"/>
      <c r="C35" s="142"/>
      <c r="D35" s="142"/>
      <c r="E35" s="142"/>
      <c r="F35" s="142"/>
      <c r="G35" s="142"/>
      <c r="H35" s="142"/>
      <c r="I35" s="142"/>
      <c r="J35" s="143"/>
      <c r="K35" s="135"/>
      <c r="L35" s="52"/>
      <c r="M35" s="185"/>
      <c r="N35" s="186"/>
    </row>
  </sheetData>
  <mergeCells count="95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23:N23"/>
    <mergeCell ref="M19:N19"/>
    <mergeCell ref="C20:D20"/>
    <mergeCell ref="E20:F20"/>
    <mergeCell ref="G20:H20"/>
    <mergeCell ref="M20:N20"/>
    <mergeCell ref="C21:D21"/>
    <mergeCell ref="E21:F21"/>
    <mergeCell ref="G21:H21"/>
    <mergeCell ref="M21:N21"/>
    <mergeCell ref="C22:D22"/>
    <mergeCell ref="E22:F22"/>
    <mergeCell ref="G22:H22"/>
    <mergeCell ref="M24:N24"/>
    <mergeCell ref="M22:N22"/>
    <mergeCell ref="C26:D26"/>
    <mergeCell ref="E26:F26"/>
    <mergeCell ref="G26:H26"/>
    <mergeCell ref="M26:N26"/>
    <mergeCell ref="K22:K25"/>
    <mergeCell ref="C24:D24"/>
    <mergeCell ref="E24:F24"/>
    <mergeCell ref="G24:H24"/>
    <mergeCell ref="C25:D25"/>
    <mergeCell ref="E25:F25"/>
    <mergeCell ref="G25:H25"/>
    <mergeCell ref="C23:D23"/>
    <mergeCell ref="E23:F23"/>
    <mergeCell ref="G23:H23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M35:N35"/>
    <mergeCell ref="M33:N33"/>
    <mergeCell ref="M34:N34"/>
    <mergeCell ref="B33:J35"/>
    <mergeCell ref="M29:N29"/>
    <mergeCell ref="C30:D30"/>
    <mergeCell ref="E30:F30"/>
    <mergeCell ref="G30:H30"/>
    <mergeCell ref="M30:N30"/>
    <mergeCell ref="K33:K35"/>
  </mergeCells>
  <conditionalFormatting sqref="C4:H4">
    <cfRule type="expression" dxfId="4" priority="5" stopIfTrue="1">
      <formula>DAY(C4)&gt;8</formula>
    </cfRule>
  </conditionalFormatting>
  <conditionalFormatting sqref="C8:I10">
    <cfRule type="expression" dxfId="3" priority="4" stopIfTrue="1">
      <formula>AND(DAY(C8)&gt;=1,DAY(C8)&lt;=15)</formula>
    </cfRule>
  </conditionalFormatting>
  <conditionalFormatting sqref="C4:I9">
    <cfRule type="expression" dxfId="2" priority="6">
      <formula>VLOOKUP(DAY(C4),DíasDeTareas,1,FALSE)=DAY(C4)</formula>
    </cfRule>
  </conditionalFormatting>
  <conditionalFormatting sqref="B15:H32 B14:I14">
    <cfRule type="expression" dxfId="1" priority="3">
      <formula>B14&lt;&gt;""</formula>
    </cfRule>
  </conditionalFormatting>
  <conditionalFormatting sqref="B33">
    <cfRule type="expression" dxfId="0" priority="1">
      <formula>B33&lt;&gt;""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26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6" priority="3" stopIfTrue="1">
      <formula>DAY(C4)&gt;8</formula>
    </cfRule>
  </conditionalFormatting>
  <conditionalFormatting sqref="C8:I10">
    <cfRule type="expression" dxfId="45" priority="2" stopIfTrue="1">
      <formula>AND(DAY(C8)&gt;=1,DAY(C8)&lt;=15)</formula>
    </cfRule>
  </conditionalFormatting>
  <conditionalFormatting sqref="C4:I9">
    <cfRule type="expression" dxfId="44" priority="4">
      <formula>VLOOKUP(DAY(C4),DíasDeTareas,1,FALSE)=DAY(C4)</formula>
    </cfRule>
  </conditionalFormatting>
  <conditionalFormatting sqref="B14:J33">
    <cfRule type="expression" dxfId="4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25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2" priority="3" stopIfTrue="1">
      <formula>DAY(C4)&gt;8</formula>
    </cfRule>
  </conditionalFormatting>
  <conditionalFormatting sqref="C8:I10">
    <cfRule type="expression" dxfId="41" priority="2" stopIfTrue="1">
      <formula>AND(DAY(C8)&gt;=1,DAY(C8)&lt;=15)</formula>
    </cfRule>
  </conditionalFormatting>
  <conditionalFormatting sqref="C4:I9">
    <cfRule type="expression" dxfId="40" priority="4">
      <formula>VLOOKUP(DAY(C4),DíasDeTareas,1,FALSE)=DAY(C4)</formula>
    </cfRule>
  </conditionalFormatting>
  <conditionalFormatting sqref="B14:J33">
    <cfRule type="expression" dxfId="3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24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8" priority="3" stopIfTrue="1">
      <formula>DAY(C4)&gt;8</formula>
    </cfRule>
  </conditionalFormatting>
  <conditionalFormatting sqref="C8:I10">
    <cfRule type="expression" dxfId="37" priority="2" stopIfTrue="1">
      <formula>AND(DAY(C8)&gt;=1,DAY(C8)&lt;=15)</formula>
    </cfRule>
  </conditionalFormatting>
  <conditionalFormatting sqref="C4:I9">
    <cfRule type="expression" dxfId="36" priority="4">
      <formula>VLOOKUP(DAY(C4),DíasDeTareas,1,FALSE)=DAY(C4)</formula>
    </cfRule>
  </conditionalFormatting>
  <conditionalFormatting sqref="B14:J33">
    <cfRule type="expression" dxfId="3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23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 t="s">
        <v>2</v>
      </c>
      <c r="C14" s="91"/>
      <c r="D14" s="92"/>
      <c r="E14" s="91" t="s">
        <v>2</v>
      </c>
      <c r="F14" s="92"/>
      <c r="G14" s="91"/>
      <c r="H14" s="92"/>
      <c r="I14" s="91" t="s">
        <v>2</v>
      </c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4" priority="3" stopIfTrue="1">
      <formula>DAY(C4)&gt;8</formula>
    </cfRule>
  </conditionalFormatting>
  <conditionalFormatting sqref="C8:I10">
    <cfRule type="expression" dxfId="33" priority="2" stopIfTrue="1">
      <formula>AND(DAY(C8)&gt;=1,DAY(C8)&lt;=15)</formula>
    </cfRule>
  </conditionalFormatting>
  <conditionalFormatting sqref="C4:I9">
    <cfRule type="expression" dxfId="32" priority="4">
      <formula>VLOOKUP(DAY(C4),DíasDeTareas,1,FALSE)=DAY(C4)</formula>
    </cfRule>
  </conditionalFormatting>
  <conditionalFormatting sqref="B14:J33">
    <cfRule type="expression" dxfId="31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22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0" priority="3" stopIfTrue="1">
      <formula>DAY(C4)&gt;8</formula>
    </cfRule>
  </conditionalFormatting>
  <conditionalFormatting sqref="C8:I10">
    <cfRule type="expression" dxfId="29" priority="2" stopIfTrue="1">
      <formula>AND(DAY(C8)&gt;=1,DAY(C8)&lt;=15)</formula>
    </cfRule>
  </conditionalFormatting>
  <conditionalFormatting sqref="C4:I9">
    <cfRule type="expression" dxfId="28" priority="4">
      <formula>VLOOKUP(DAY(C4),DíasDeTareas,1,FALSE)=DAY(C4)</formula>
    </cfRule>
  </conditionalFormatting>
  <conditionalFormatting sqref="B14:J33">
    <cfRule type="expression" dxfId="27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21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6" priority="3" stopIfTrue="1">
      <formula>DAY(C4)&gt;8</formula>
    </cfRule>
  </conditionalFormatting>
  <conditionalFormatting sqref="C8:I10">
    <cfRule type="expression" dxfId="25" priority="2" stopIfTrue="1">
      <formula>AND(DAY(C8)&gt;=1,DAY(C8)&lt;=15)</formula>
    </cfRule>
  </conditionalFormatting>
  <conditionalFormatting sqref="C4:I9">
    <cfRule type="expression" dxfId="24" priority="4">
      <formula>VLOOKUP(DAY(C4),DíasDeTareas,1,FALSE)=DAY(C4)</formula>
    </cfRule>
  </conditionalFormatting>
  <conditionalFormatting sqref="B14:J33">
    <cfRule type="expression" dxfId="2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77" t="s">
        <v>20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2" priority="3" stopIfTrue="1">
      <formula>DAY(C4)&gt;8</formula>
    </cfRule>
  </conditionalFormatting>
  <conditionalFormatting sqref="C8:I10">
    <cfRule type="expression" dxfId="21" priority="2" stopIfTrue="1">
      <formula>AND(DAY(C8)&gt;=1,DAY(C8)&lt;=15)</formula>
    </cfRule>
  </conditionalFormatting>
  <conditionalFormatting sqref="C4:I9">
    <cfRule type="expression" dxfId="20" priority="4">
      <formula>VLOOKUP(DAY(C4),DíasDeTareas,1,FALSE)=DAY(C4)</formula>
    </cfRule>
  </conditionalFormatting>
  <conditionalFormatting sqref="B14:J33">
    <cfRule type="expression" dxfId="1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7" t="s">
        <v>19</v>
      </c>
      <c r="C2" s="21"/>
      <c r="D2" s="21"/>
      <c r="E2" s="21"/>
      <c r="F2" s="21"/>
      <c r="G2" s="21"/>
      <c r="H2" s="21"/>
      <c r="I2" s="21"/>
      <c r="J2" s="22"/>
      <c r="K2" s="117" t="s">
        <v>3</v>
      </c>
      <c r="L2" s="118">
        <v>2013</v>
      </c>
      <c r="M2" s="118"/>
      <c r="N2" s="25"/>
    </row>
    <row r="3" spans="1:14" ht="21" customHeight="1" x14ac:dyDescent="0.2">
      <c r="A3" s="4"/>
      <c r="B3" s="7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19"/>
      <c r="L3" s="120"/>
      <c r="M3" s="120"/>
      <c r="N3" s="26"/>
    </row>
    <row r="4" spans="1:14" ht="18" customHeight="1" x14ac:dyDescent="0.2">
      <c r="A4" s="4"/>
      <c r="B4" s="78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121" t="s">
        <v>12</v>
      </c>
      <c r="L4" s="16"/>
      <c r="M4" s="122"/>
      <c r="N4" s="123"/>
    </row>
    <row r="5" spans="1:14" ht="18" customHeight="1" x14ac:dyDescent="0.2">
      <c r="A5" s="4"/>
      <c r="B5" s="78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113"/>
      <c r="L5" s="17"/>
      <c r="M5" s="83"/>
      <c r="N5" s="84"/>
    </row>
    <row r="6" spans="1:14" ht="18" customHeight="1" x14ac:dyDescent="0.2">
      <c r="A6" s="4"/>
      <c r="B6" s="78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113"/>
      <c r="L6" s="17"/>
      <c r="M6" s="83"/>
      <c r="N6" s="84"/>
    </row>
    <row r="7" spans="1:14" ht="18" customHeight="1" x14ac:dyDescent="0.2">
      <c r="A7" s="4"/>
      <c r="B7" s="78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83"/>
      <c r="N7" s="84"/>
    </row>
    <row r="8" spans="1:14" ht="18.75" customHeight="1" x14ac:dyDescent="0.2">
      <c r="A8" s="4"/>
      <c r="B8" s="78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83"/>
      <c r="N8" s="84"/>
    </row>
    <row r="9" spans="1:14" ht="18" customHeight="1" x14ac:dyDescent="0.2">
      <c r="A9" s="4"/>
      <c r="B9" s="78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87"/>
      <c r="N9" s="88"/>
    </row>
    <row r="10" spans="1:14" ht="18" customHeight="1" x14ac:dyDescent="0.2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112" t="s">
        <v>13</v>
      </c>
      <c r="L10" s="16"/>
      <c r="M10" s="89"/>
      <c r="N10" s="90"/>
    </row>
    <row r="11" spans="1:14" ht="18" customHeight="1" x14ac:dyDescent="0.2">
      <c r="A11" s="4"/>
      <c r="B11" s="80" t="s">
        <v>11</v>
      </c>
      <c r="C11" s="81"/>
      <c r="D11" s="81"/>
      <c r="E11" s="81"/>
      <c r="F11" s="81"/>
      <c r="G11" s="81"/>
      <c r="H11" s="81"/>
      <c r="I11" s="81"/>
      <c r="J11" s="82"/>
      <c r="K11" s="113"/>
      <c r="L11" s="17"/>
      <c r="M11" s="83"/>
      <c r="N11" s="84"/>
    </row>
    <row r="12" spans="1:14" ht="18" customHeight="1" x14ac:dyDescent="0.2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113"/>
      <c r="L12" s="17"/>
      <c r="M12" s="83"/>
      <c r="N12" s="84"/>
    </row>
    <row r="13" spans="1:14" ht="18" customHeight="1" x14ac:dyDescent="0.2">
      <c r="B13" s="3" t="s">
        <v>12</v>
      </c>
      <c r="C13" s="114" t="s">
        <v>13</v>
      </c>
      <c r="D13" s="116"/>
      <c r="E13" s="114" t="s">
        <v>14</v>
      </c>
      <c r="F13" s="116"/>
      <c r="G13" s="114" t="s">
        <v>15</v>
      </c>
      <c r="H13" s="116"/>
      <c r="I13" s="114" t="s">
        <v>16</v>
      </c>
      <c r="J13" s="115"/>
      <c r="K13" s="11"/>
      <c r="L13" s="17"/>
      <c r="M13" s="83"/>
      <c r="N13" s="84"/>
    </row>
    <row r="14" spans="1:14" ht="18" customHeight="1" x14ac:dyDescent="0.2">
      <c r="B14" s="8"/>
      <c r="C14" s="91"/>
      <c r="D14" s="92"/>
      <c r="E14" s="91"/>
      <c r="F14" s="92"/>
      <c r="G14" s="91"/>
      <c r="H14" s="92"/>
      <c r="I14" s="91"/>
      <c r="J14" s="106"/>
      <c r="K14" s="11"/>
      <c r="L14" s="17"/>
      <c r="M14" s="83"/>
      <c r="N14" s="84"/>
    </row>
    <row r="15" spans="1:14" ht="18" customHeight="1" x14ac:dyDescent="0.2">
      <c r="B15" s="6"/>
      <c r="C15" s="93"/>
      <c r="D15" s="94"/>
      <c r="E15" s="93"/>
      <c r="F15" s="94"/>
      <c r="G15" s="93"/>
      <c r="H15" s="94"/>
      <c r="I15" s="104"/>
      <c r="J15" s="105"/>
      <c r="K15" s="13"/>
      <c r="L15" s="19"/>
      <c r="M15" s="87"/>
      <c r="N15" s="88"/>
    </row>
    <row r="16" spans="1:14" ht="18" customHeight="1" x14ac:dyDescent="0.2">
      <c r="B16" s="8"/>
      <c r="C16" s="91"/>
      <c r="D16" s="92"/>
      <c r="E16" s="91"/>
      <c r="F16" s="92"/>
      <c r="G16" s="91"/>
      <c r="H16" s="92"/>
      <c r="I16" s="100"/>
      <c r="J16" s="101"/>
      <c r="K16" s="126" t="s">
        <v>14</v>
      </c>
      <c r="L16" s="16"/>
      <c r="M16" s="89"/>
      <c r="N16" s="90"/>
    </row>
    <row r="17" spans="2:14" ht="18" customHeight="1" x14ac:dyDescent="0.2">
      <c r="B17" s="6"/>
      <c r="C17" s="93"/>
      <c r="D17" s="94"/>
      <c r="E17" s="93"/>
      <c r="F17" s="94"/>
      <c r="G17" s="93"/>
      <c r="H17" s="94"/>
      <c r="I17" s="104"/>
      <c r="J17" s="105"/>
      <c r="K17" s="127"/>
      <c r="L17" s="17"/>
      <c r="M17" s="83"/>
      <c r="N17" s="84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127"/>
      <c r="L18" s="17"/>
      <c r="M18" s="83"/>
      <c r="N18" s="84"/>
    </row>
    <row r="19" spans="2:14" ht="18" customHeight="1" x14ac:dyDescent="0.2">
      <c r="B19" s="6"/>
      <c r="C19" s="93"/>
      <c r="D19" s="94"/>
      <c r="E19" s="93"/>
      <c r="F19" s="94"/>
      <c r="G19" s="93"/>
      <c r="H19" s="94"/>
      <c r="I19" s="104"/>
      <c r="J19" s="105"/>
      <c r="K19" s="11"/>
      <c r="L19" s="17"/>
      <c r="M19" s="83"/>
      <c r="N19" s="84"/>
    </row>
    <row r="20" spans="2:14" ht="18" customHeight="1" x14ac:dyDescent="0.2">
      <c r="B20" s="8"/>
      <c r="C20" s="91"/>
      <c r="D20" s="92"/>
      <c r="E20" s="91"/>
      <c r="F20" s="92"/>
      <c r="G20" s="91"/>
      <c r="H20" s="92"/>
      <c r="I20" s="91"/>
      <c r="J20" s="106"/>
      <c r="K20" s="11"/>
      <c r="L20" s="17"/>
      <c r="M20" s="83"/>
      <c r="N20" s="84"/>
    </row>
    <row r="21" spans="2:14" ht="18" customHeight="1" x14ac:dyDescent="0.2">
      <c r="B21" s="6"/>
      <c r="C21" s="93"/>
      <c r="D21" s="94"/>
      <c r="E21" s="93"/>
      <c r="F21" s="94"/>
      <c r="G21" s="93"/>
      <c r="H21" s="94"/>
      <c r="I21" s="107"/>
      <c r="J21" s="108"/>
      <c r="K21" s="13"/>
      <c r="L21" s="19"/>
      <c r="M21" s="87"/>
      <c r="N21" s="88"/>
    </row>
    <row r="22" spans="2:14" ht="18" customHeight="1" x14ac:dyDescent="0.2">
      <c r="B22" s="8"/>
      <c r="C22" s="91"/>
      <c r="D22" s="92"/>
      <c r="E22" s="91"/>
      <c r="F22" s="92"/>
      <c r="G22" s="91"/>
      <c r="H22" s="92"/>
      <c r="I22" s="91"/>
      <c r="J22" s="106"/>
      <c r="K22" s="126" t="s">
        <v>15</v>
      </c>
      <c r="L22" s="16"/>
      <c r="M22" s="89"/>
      <c r="N22" s="90"/>
    </row>
    <row r="23" spans="2:14" ht="18" customHeight="1" x14ac:dyDescent="0.2">
      <c r="B23" s="6"/>
      <c r="C23" s="93"/>
      <c r="D23" s="94"/>
      <c r="E23" s="93"/>
      <c r="F23" s="94"/>
      <c r="G23" s="93"/>
      <c r="H23" s="94"/>
      <c r="I23" s="104"/>
      <c r="J23" s="105"/>
      <c r="K23" s="127"/>
      <c r="L23" s="17"/>
      <c r="M23" s="83"/>
      <c r="N23" s="84"/>
    </row>
    <row r="24" spans="2:14" ht="18" customHeight="1" x14ac:dyDescent="0.2">
      <c r="B24" s="8"/>
      <c r="C24" s="91"/>
      <c r="D24" s="92"/>
      <c r="E24" s="91"/>
      <c r="F24" s="92"/>
      <c r="G24" s="91"/>
      <c r="H24" s="92"/>
      <c r="I24" s="91"/>
      <c r="J24" s="106"/>
      <c r="K24" s="127"/>
      <c r="L24" s="17"/>
      <c r="M24" s="83"/>
      <c r="N24" s="84"/>
    </row>
    <row r="25" spans="2:14" ht="18" customHeight="1" x14ac:dyDescent="0.2">
      <c r="B25" s="6"/>
      <c r="C25" s="93"/>
      <c r="D25" s="94"/>
      <c r="E25" s="93"/>
      <c r="F25" s="94"/>
      <c r="G25" s="93"/>
      <c r="H25" s="94"/>
      <c r="I25" s="104"/>
      <c r="J25" s="105"/>
      <c r="K25" s="127"/>
      <c r="L25" s="17"/>
      <c r="M25" s="83"/>
      <c r="N25" s="84"/>
    </row>
    <row r="26" spans="2:14" ht="18" customHeight="1" x14ac:dyDescent="0.2">
      <c r="B26" s="8"/>
      <c r="C26" s="91"/>
      <c r="D26" s="92"/>
      <c r="E26" s="91"/>
      <c r="F26" s="92"/>
      <c r="G26" s="91"/>
      <c r="H26" s="92"/>
      <c r="I26" s="91"/>
      <c r="J26" s="106"/>
      <c r="K26" s="11"/>
      <c r="L26" s="17"/>
      <c r="M26" s="83"/>
      <c r="N26" s="84"/>
    </row>
    <row r="27" spans="2:14" ht="18" customHeight="1" x14ac:dyDescent="0.2">
      <c r="B27" s="6"/>
      <c r="C27" s="93"/>
      <c r="D27" s="94"/>
      <c r="E27" s="93"/>
      <c r="F27" s="94"/>
      <c r="G27" s="93"/>
      <c r="H27" s="94"/>
      <c r="I27" s="104"/>
      <c r="J27" s="105"/>
      <c r="K27" s="13"/>
      <c r="L27" s="19"/>
      <c r="M27" s="87"/>
      <c r="N27" s="88"/>
    </row>
    <row r="28" spans="2:14" ht="18" customHeight="1" x14ac:dyDescent="0.2">
      <c r="B28" s="8"/>
      <c r="C28" s="91"/>
      <c r="D28" s="92"/>
      <c r="E28" s="91"/>
      <c r="F28" s="92"/>
      <c r="G28" s="91"/>
      <c r="H28" s="92"/>
      <c r="I28" s="91"/>
      <c r="J28" s="106"/>
      <c r="K28" s="112" t="s">
        <v>16</v>
      </c>
      <c r="L28" s="16"/>
      <c r="M28" s="89"/>
      <c r="N28" s="90"/>
    </row>
    <row r="29" spans="2:14" ht="18" customHeight="1" x14ac:dyDescent="0.2">
      <c r="B29" s="6"/>
      <c r="C29" s="93"/>
      <c r="D29" s="94"/>
      <c r="E29" s="93"/>
      <c r="F29" s="94"/>
      <c r="G29" s="93"/>
      <c r="H29" s="94"/>
      <c r="I29" s="93"/>
      <c r="J29" s="99"/>
      <c r="K29" s="113"/>
      <c r="L29" s="17"/>
      <c r="M29" s="83"/>
      <c r="N29" s="84"/>
    </row>
    <row r="30" spans="2:14" ht="18" customHeight="1" x14ac:dyDescent="0.2">
      <c r="B30" s="8"/>
      <c r="C30" s="91"/>
      <c r="D30" s="92"/>
      <c r="E30" s="91"/>
      <c r="F30" s="92"/>
      <c r="G30" s="91"/>
      <c r="H30" s="92"/>
      <c r="I30" s="97"/>
      <c r="J30" s="98"/>
      <c r="K30" s="113"/>
      <c r="L30" s="17"/>
      <c r="M30" s="83"/>
      <c r="N30" s="84"/>
    </row>
    <row r="31" spans="2:14" ht="18" customHeight="1" x14ac:dyDescent="0.2">
      <c r="B31" s="6"/>
      <c r="C31" s="93"/>
      <c r="D31" s="94"/>
      <c r="E31" s="93"/>
      <c r="F31" s="94"/>
      <c r="G31" s="93"/>
      <c r="H31" s="94"/>
      <c r="I31" s="93"/>
      <c r="J31" s="99"/>
      <c r="K31" s="14"/>
      <c r="L31" s="17"/>
      <c r="M31" s="83"/>
      <c r="N31" s="84"/>
    </row>
    <row r="32" spans="2:14" ht="18" customHeight="1" x14ac:dyDescent="0.2">
      <c r="B32" s="8"/>
      <c r="C32" s="91"/>
      <c r="D32" s="92"/>
      <c r="E32" s="91"/>
      <c r="F32" s="92"/>
      <c r="G32" s="91"/>
      <c r="H32" s="92"/>
      <c r="I32" s="100"/>
      <c r="J32" s="101"/>
      <c r="K32" s="14"/>
      <c r="L32" s="17"/>
      <c r="M32" s="83"/>
      <c r="N32" s="84"/>
    </row>
    <row r="33" spans="2:14" ht="18" customHeight="1" x14ac:dyDescent="0.2">
      <c r="B33" s="7"/>
      <c r="C33" s="95"/>
      <c r="D33" s="96"/>
      <c r="E33" s="95"/>
      <c r="F33" s="96"/>
      <c r="G33" s="95"/>
      <c r="H33" s="96"/>
      <c r="I33" s="102"/>
      <c r="J33" s="103"/>
      <c r="K33" s="15"/>
      <c r="L33" s="20"/>
      <c r="M33" s="85"/>
      <c r="N33" s="8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8" priority="3" stopIfTrue="1">
      <formula>DAY(C4)&gt;8</formula>
    </cfRule>
  </conditionalFormatting>
  <conditionalFormatting sqref="C8:I10">
    <cfRule type="expression" dxfId="17" priority="2" stopIfTrue="1">
      <formula>AND(DAY(C8)&gt;=1,DAY(C8)&lt;=15)</formula>
    </cfRule>
  </conditionalFormatting>
  <conditionalFormatting sqref="C4:I9">
    <cfRule type="expression" dxfId="16" priority="4">
      <formula>VLOOKUP(DAY(C4),DíasDeTareas,1,FALSE)=DAY(C4)</formula>
    </cfRule>
  </conditionalFormatting>
  <conditionalFormatting sqref="B14:J33">
    <cfRule type="expression" dxfId="1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2019-07-30T16:21:31Z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