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120" windowWidth="15480" windowHeight="11640" tabRatio="690" firstSheet="9" activeTab="9"/>
  </bookViews>
  <sheets>
    <sheet name="Enero" sheetId="1" state="hidden" r:id="rId1"/>
    <sheet name="Febrero" sheetId="6" state="hidden" r:id="rId2"/>
    <sheet name="Marzo" sheetId="7" state="hidden" r:id="rId3"/>
    <sheet name="Abril" sheetId="8" state="hidden" r:id="rId4"/>
    <sheet name="Mayo" sheetId="9" state="hidden" r:id="rId5"/>
    <sheet name="Junio" sheetId="10" state="hidden" r:id="rId6"/>
    <sheet name="Julio" sheetId="11" state="hidden" r:id="rId7"/>
    <sheet name="Agosto" sheetId="12" state="hidden" r:id="rId8"/>
    <sheet name="Septiembre" sheetId="13" state="hidden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11">Diciembre!$A$1:$M$50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1">Diciembre!$L$4:$L$33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<sst xmlns="http://schemas.openxmlformats.org/spreadsheetml/2006/main" count="264" uniqueCount="54">
  <si>
    <t>S</t>
  </si>
  <si>
    <t>M</t>
  </si>
  <si>
    <t>8:00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</si>
  <si>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</si>
  <si>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</si>
  <si>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</si>
  <si>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</si>
  <si>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</si>
  <si>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</si>
  <si>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</si>
  <si>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</si>
  <si>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</si>
  <si>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</si>
  <si>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</si>
  <si>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</si>
  <si>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</si>
  <si>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</si>
  <si>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</si>
  <si>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</si>
  <si>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</si>
  <si>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</si>
  <si>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</si>
  <si>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</si>
  <si>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</si>
  <si>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</si>
  <si>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</si>
  <si>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</si>
  <si>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</si>
  <si>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>salida laboral  todos los viernes a las 12:00  por estudio de especialidad en Transparencia por parte del  ITEI, hasta el 8 de dicembre</t>
  </si>
  <si>
    <t>salida laboral todos los viernes a las 12:00  por estudio de especialidad en Transparencia por parte del  ITEI.</t>
  </si>
  <si>
    <t>ACTIVIDADES REALIZADAS</t>
  </si>
  <si>
    <t>Entrega - Recepción 2018-2021</t>
  </si>
  <si>
    <t>Acomodar Archivo de Tragetas de Predios Urbanos</t>
  </si>
  <si>
    <t>Formas de Solicitudes de todos los trámites que se gestionan en el área</t>
  </si>
  <si>
    <t>Acomodo Fisico del área de catastro</t>
  </si>
  <si>
    <t>No se laboró se celebra día de la Raza</t>
  </si>
  <si>
    <t>Integración de Información de las cuentas rústicas y urbanas</t>
  </si>
  <si>
    <t>Reunión en el Grullo para integrar el Comité Regional de Catastro</t>
  </si>
  <si>
    <t>Salí a asunto personal urgente a Autlán con autorización del Presidente</t>
  </si>
  <si>
    <t>Reunión con Empresa Privada NEXTCODE en Guadalajara</t>
  </si>
  <si>
    <t>Tramitación de Avaluós y capacitación para el sistema Aries</t>
  </si>
  <si>
    <t>Capacitación para el sistema Aries</t>
  </si>
  <si>
    <t>Tramitación de Avaluós</t>
  </si>
  <si>
    <t>Reintegración de las targetas catastrales</t>
  </si>
  <si>
    <t>Revisión de inventario de las tablas de valores</t>
  </si>
  <si>
    <t>Remisión de oficios correspondientes a la PGR.</t>
  </si>
  <si>
    <t>Atención a 4 clientes para revisión de predios</t>
  </si>
  <si>
    <t>Elaboración de proyecto de recaudación de fondos catastrales</t>
  </si>
  <si>
    <t>Remisión de oficios correspondientes a la PGR y anexar planos de ubicación de la cabecera municipal</t>
  </si>
  <si>
    <t>Tramitación de Avaluós y Revisión de Certificados autorizados</t>
  </si>
  <si>
    <t>Capacitación para el sistema Aries, Remisión de Oficios y Capturas de formas para las ctas. Urbanas y rústicas.</t>
  </si>
  <si>
    <t>Atención a 5 clientes para revisión de medidas de predios urbanos</t>
  </si>
  <si>
    <t>Escaneó de docuementos de planos solicitados y remisión de oficios</t>
  </si>
  <si>
    <t>Integración de Trámites de Catastro y atención ciudadana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</si>
</sst>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40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sz val="10"/>
      <color rgb="FFFF0000"/>
      <name val="Arial"/>
      <family val="2"/>
      <scheme val="minor"/>
    </font>
    <font>
      <b/>
      <sz val="24"/>
      <color rgb="FFFF0000"/>
      <name val="Arial"/>
      <family val="2"/>
      <scheme val="major"/>
    </font>
    <font>
      <b/>
      <sz val="17"/>
      <color rgb="FFFF0000"/>
      <name val="Arial"/>
      <family val="2"/>
      <scheme val="major"/>
    </font>
    <font>
      <sz val="10"/>
      <color rgb="FFFF0000"/>
      <name val="Arial"/>
      <family val="2"/>
      <scheme val="major"/>
    </font>
    <font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ajor"/>
    </font>
    <font>
      <b/>
      <sz val="10"/>
      <color rgb="FFFF0000"/>
      <name val="Arial"/>
      <family val="2"/>
      <scheme val="minor"/>
    </font>
    <font>
      <b/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in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sz val="12"/>
      <color rgb="FFFF0000"/>
      <name val="Arial"/>
      <family val="2"/>
      <scheme val="major"/>
    </font>
    <font>
      <sz val="12"/>
      <color rgb="FFFF0000"/>
      <name val="Arial"/>
      <family val="2"/>
      <scheme val="minor"/>
    </font>
    <font>
      <b/>
      <sz val="10"/>
      <name val="Arial"/>
      <family val="2"/>
      <scheme val="minor"/>
    </font>
    <font>
      <sz val="10"/>
      <name val="Arial"/>
      <family val="2"/>
      <scheme val="minor"/>
    </font>
    <font>
      <sz val="12"/>
      <name val="Arial"/>
      <family val="2"/>
      <scheme val="minor"/>
    </font>
    <font>
      <b/>
      <sz val="17"/>
      <color theme="5" tint="-0.249977111117893"/>
      <name val="Arial"/>
      <family val="2"/>
      <scheme val="major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99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23" fillId="0" borderId="0" xfId="0" applyFont="1"/>
    <xf numFmtId="0" fontId="23" fillId="0" borderId="9" xfId="0" applyFont="1" applyBorder="1"/>
    <xf numFmtId="0" fontId="23" fillId="0" borderId="40" xfId="0" applyFont="1" applyBorder="1"/>
    <xf numFmtId="0" fontId="23" fillId="0" borderId="41" xfId="0" applyFont="1" applyBorder="1"/>
    <xf numFmtId="0" fontId="23" fillId="0" borderId="43" xfId="0" applyFont="1" applyBorder="1"/>
    <xf numFmtId="0" fontId="26" fillId="0" borderId="0" xfId="0" applyFont="1" applyFill="1" applyBorder="1" applyAlignment="1">
      <alignment horizontal="center" vertical="center"/>
    </xf>
    <xf numFmtId="0" fontId="23" fillId="0" borderId="16" xfId="0" applyFont="1" applyBorder="1"/>
    <xf numFmtId="0" fontId="23" fillId="0" borderId="44" xfId="0" applyFont="1" applyBorder="1"/>
    <xf numFmtId="164" fontId="27" fillId="0" borderId="0" xfId="0" applyNumberFormat="1" applyFont="1" applyFill="1" applyBorder="1" applyAlignment="1">
      <alignment horizontal="center" vertical="center" wrapText="1"/>
    </xf>
    <xf numFmtId="0" fontId="29" fillId="0" borderId="3" xfId="0" applyFont="1" applyBorder="1" applyAlignment="1">
      <alignment horizontal="center"/>
    </xf>
    <xf numFmtId="0" fontId="28" fillId="0" borderId="0" xfId="0" applyFont="1" applyBorder="1" applyAlignment="1">
      <alignment horizontal="right" vertical="center" textRotation="90"/>
    </xf>
    <xf numFmtId="0" fontId="29" fillId="0" borderId="0" xfId="0" applyFont="1" applyBorder="1" applyAlignment="1">
      <alignment horizontal="right" vertical="center"/>
    </xf>
    <xf numFmtId="164" fontId="30" fillId="0" borderId="14" xfId="0" applyNumberFormat="1" applyFont="1" applyFill="1" applyBorder="1" applyAlignment="1">
      <alignment horizontal="left" vertical="center" wrapText="1" indent="1"/>
    </xf>
    <xf numFmtId="0" fontId="23" fillId="0" borderId="15" xfId="0" applyFont="1" applyBorder="1"/>
    <xf numFmtId="0" fontId="23" fillId="4" borderId="8" xfId="0" applyFont="1" applyFill="1" applyBorder="1" applyAlignment="1">
      <alignment horizontal="left" indent="1"/>
    </xf>
    <xf numFmtId="49" fontId="32" fillId="5" borderId="8" xfId="0" applyNumberFormat="1" applyFont="1" applyFill="1" applyBorder="1" applyAlignment="1">
      <alignment horizontal="left" indent="1"/>
    </xf>
    <xf numFmtId="0" fontId="33" fillId="5" borderId="21" xfId="0" applyFont="1" applyFill="1" applyBorder="1" applyAlignment="1">
      <alignment horizontal="left" vertical="top" indent="1"/>
    </xf>
    <xf numFmtId="0" fontId="29" fillId="0" borderId="4" xfId="0" applyFont="1" applyBorder="1" applyAlignment="1">
      <alignment horizontal="right" vertical="center"/>
    </xf>
    <xf numFmtId="49" fontId="32" fillId="5" borderId="24" xfId="0" applyNumberFormat="1" applyFont="1" applyFill="1" applyBorder="1" applyAlignment="1">
      <alignment horizontal="left" indent="1"/>
    </xf>
    <xf numFmtId="0" fontId="34" fillId="0" borderId="0" xfId="0" applyFont="1" applyBorder="1" applyAlignment="1">
      <alignment horizontal="right" vertical="center" textRotation="90"/>
    </xf>
    <xf numFmtId="0" fontId="33" fillId="5" borderId="11" xfId="0" applyFont="1" applyFill="1" applyBorder="1" applyAlignment="1">
      <alignment horizontal="left" vertical="top" indent="1"/>
    </xf>
    <xf numFmtId="164" fontId="35" fillId="0" borderId="14" xfId="0" applyNumberFormat="1" applyFont="1" applyFill="1" applyBorder="1" applyAlignment="1">
      <alignment horizontal="right" vertical="center"/>
    </xf>
    <xf numFmtId="164" fontId="29" fillId="0" borderId="14" xfId="0" applyNumberFormat="1" applyFont="1" applyFill="1" applyBorder="1" applyAlignment="1">
      <alignment horizontal="center"/>
    </xf>
    <xf numFmtId="0" fontId="36" fillId="0" borderId="2" xfId="0" applyFont="1" applyBorder="1" applyAlignment="1">
      <alignment horizontal="center"/>
    </xf>
    <xf numFmtId="0" fontId="36" fillId="0" borderId="3" xfId="0" applyFont="1" applyBorder="1" applyAlignment="1">
      <alignment horizontal="center"/>
    </xf>
    <xf numFmtId="0" fontId="36" fillId="0" borderId="5" xfId="0" applyFont="1" applyBorder="1" applyAlignment="1">
      <alignment horizontal="center"/>
    </xf>
    <xf numFmtId="0" fontId="36" fillId="0" borderId="4" xfId="0" applyFont="1" applyBorder="1" applyAlignment="1">
      <alignment horizontal="center"/>
    </xf>
    <xf numFmtId="164" fontId="36" fillId="0" borderId="14" xfId="0" applyNumberFormat="1" applyFont="1" applyFill="1" applyBorder="1" applyAlignment="1">
      <alignment horizontal="center"/>
    </xf>
    <xf numFmtId="164" fontId="27" fillId="6" borderId="0" xfId="0" applyNumberFormat="1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left" indent="1"/>
    </xf>
    <xf numFmtId="49" fontId="32" fillId="7" borderId="8" xfId="0" applyNumberFormat="1" applyFont="1" applyFill="1" applyBorder="1" applyAlignment="1">
      <alignment horizontal="left" indent="1"/>
    </xf>
    <xf numFmtId="0" fontId="33" fillId="7" borderId="21" xfId="0" applyFont="1" applyFill="1" applyBorder="1" applyAlignment="1">
      <alignment horizontal="left" vertical="top" indent="1"/>
    </xf>
    <xf numFmtId="49" fontId="32" fillId="7" borderId="24" xfId="0" applyNumberFormat="1" applyFont="1" applyFill="1" applyBorder="1" applyAlignment="1">
      <alignment horizontal="left" indent="1"/>
    </xf>
    <xf numFmtId="0" fontId="33" fillId="7" borderId="11" xfId="0" applyFont="1" applyFill="1" applyBorder="1" applyAlignment="1">
      <alignment horizontal="left" vertical="top" indent="1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28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0" fontId="15" fillId="5" borderId="27" xfId="0" applyFont="1" applyFill="1" applyBorder="1" applyAlignment="1">
      <alignment horizontal="left" vertical="top" indent="1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49" fontId="17" fillId="5" borderId="10" xfId="0" applyNumberFormat="1" applyFont="1" applyFill="1" applyBorder="1" applyAlignment="1">
      <alignment horizontal="left" indent="1"/>
    </xf>
    <xf numFmtId="49" fontId="17" fillId="5" borderId="16" xfId="0" applyNumberFormat="1" applyFont="1" applyFill="1" applyBorder="1" applyAlignment="1">
      <alignment horizontal="left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24" fillId="0" borderId="39" xfId="0" applyFont="1" applyFill="1" applyBorder="1" applyAlignment="1">
      <alignment horizontal="center" vertical="center" textRotation="90"/>
    </xf>
    <xf numFmtId="0" fontId="24" fillId="0" borderId="7" xfId="0" applyFont="1" applyFill="1" applyBorder="1" applyAlignment="1">
      <alignment horizontal="center" vertical="center" textRotation="90"/>
    </xf>
    <xf numFmtId="0" fontId="24" fillId="0" borderId="42" xfId="0" applyFont="1" applyFill="1" applyBorder="1" applyAlignment="1">
      <alignment horizontal="center" vertical="center" textRotation="90"/>
    </xf>
    <xf numFmtId="0" fontId="39" fillId="0" borderId="33" xfId="0" applyFont="1" applyBorder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0" fontId="25" fillId="0" borderId="30" xfId="0" applyFont="1" applyBorder="1" applyAlignment="1">
      <alignment horizontal="center" vertical="center"/>
    </xf>
    <xf numFmtId="0" fontId="25" fillId="0" borderId="31" xfId="0" applyFont="1" applyBorder="1" applyAlignment="1">
      <alignment horizontal="center" vertical="center"/>
    </xf>
    <xf numFmtId="0" fontId="28" fillId="0" borderId="33" xfId="0" applyFont="1" applyBorder="1" applyAlignment="1">
      <alignment horizontal="right" vertical="center" textRotation="90"/>
    </xf>
    <xf numFmtId="0" fontId="28" fillId="0" borderId="29" xfId="0" applyFont="1" applyBorder="1" applyAlignment="1">
      <alignment horizontal="right" vertical="center" textRotation="90"/>
    </xf>
    <xf numFmtId="0" fontId="37" fillId="0" borderId="37" xfId="0" applyFont="1" applyBorder="1" applyAlignment="1">
      <alignment horizontal="left"/>
    </xf>
    <xf numFmtId="0" fontId="37" fillId="0" borderId="38" xfId="0" applyFont="1" applyBorder="1" applyAlignment="1">
      <alignment horizontal="left"/>
    </xf>
    <xf numFmtId="0" fontId="37" fillId="0" borderId="3" xfId="0" applyFont="1" applyBorder="1" applyAlignment="1">
      <alignment horizontal="left"/>
    </xf>
    <xf numFmtId="0" fontId="37" fillId="0" borderId="18" xfId="0" applyFont="1" applyBorder="1" applyAlignment="1">
      <alignment horizontal="left"/>
    </xf>
    <xf numFmtId="0" fontId="37" fillId="0" borderId="5" xfId="0" applyFont="1" applyBorder="1" applyAlignment="1">
      <alignment horizontal="left"/>
    </xf>
    <xf numFmtId="0" fontId="37" fillId="0" borderId="20" xfId="0" applyFont="1" applyBorder="1" applyAlignment="1">
      <alignment horizontal="left"/>
    </xf>
    <xf numFmtId="0" fontId="28" fillId="0" borderId="36" xfId="0" applyFont="1" applyBorder="1" applyAlignment="1">
      <alignment horizontal="right" vertical="center" textRotation="90"/>
    </xf>
    <xf numFmtId="49" fontId="32" fillId="7" borderId="10" xfId="0" applyNumberFormat="1" applyFont="1" applyFill="1" applyBorder="1" applyAlignment="1">
      <alignment horizontal="left" indent="1"/>
    </xf>
    <xf numFmtId="49" fontId="32" fillId="7" borderId="6" xfId="0" applyNumberFormat="1" applyFont="1" applyFill="1" applyBorder="1" applyAlignment="1">
      <alignment horizontal="left" indent="1"/>
    </xf>
    <xf numFmtId="0" fontId="37" fillId="0" borderId="17" xfId="0" applyFont="1" applyBorder="1" applyAlignment="1">
      <alignment horizontal="left"/>
    </xf>
    <xf numFmtId="0" fontId="37" fillId="0" borderId="19" xfId="0" applyFont="1" applyBorder="1" applyAlignment="1">
      <alignment horizontal="left"/>
    </xf>
    <xf numFmtId="0" fontId="31" fillId="7" borderId="7" xfId="0" applyFont="1" applyFill="1" applyBorder="1" applyAlignment="1">
      <alignment horizontal="left" vertical="center"/>
    </xf>
    <xf numFmtId="0" fontId="31" fillId="7" borderId="0" xfId="0" applyFont="1" applyFill="1" applyAlignment="1">
      <alignment horizontal="left" vertical="center"/>
    </xf>
    <xf numFmtId="0" fontId="31" fillId="7" borderId="16" xfId="0" applyFont="1" applyFill="1" applyBorder="1" applyAlignment="1">
      <alignment horizontal="left" vertical="center"/>
    </xf>
    <xf numFmtId="0" fontId="23" fillId="7" borderId="10" xfId="0" applyFont="1" applyFill="1" applyBorder="1" applyAlignment="1">
      <alignment horizontal="left" indent="1"/>
    </xf>
    <xf numFmtId="0" fontId="23" fillId="7" borderId="6" xfId="0" applyFont="1" applyFill="1" applyBorder="1" applyAlignment="1">
      <alignment horizontal="left" indent="1"/>
    </xf>
    <xf numFmtId="0" fontId="23" fillId="7" borderId="16" xfId="0" applyFont="1" applyFill="1" applyBorder="1" applyAlignment="1">
      <alignment horizontal="left" indent="1"/>
    </xf>
    <xf numFmtId="0" fontId="33" fillId="7" borderId="22" xfId="0" applyFont="1" applyFill="1" applyBorder="1" applyAlignment="1">
      <alignment horizontal="left" vertical="top" indent="1"/>
    </xf>
    <xf numFmtId="0" fontId="33" fillId="7" borderId="23" xfId="0" applyFont="1" applyFill="1" applyBorder="1" applyAlignment="1">
      <alignment horizontal="left" vertical="top" indent="1"/>
    </xf>
    <xf numFmtId="49" fontId="32" fillId="7" borderId="10" xfId="0" applyNumberFormat="1" applyFont="1" applyFill="1" applyBorder="1" applyAlignment="1">
      <alignment horizontal="center" vertical="center" wrapText="1"/>
    </xf>
    <xf numFmtId="49" fontId="32" fillId="7" borderId="16" xfId="0" applyNumberFormat="1" applyFont="1" applyFill="1" applyBorder="1" applyAlignment="1">
      <alignment horizontal="center" vertical="center" wrapText="1"/>
    </xf>
    <xf numFmtId="49" fontId="32" fillId="7" borderId="22" xfId="0" applyNumberFormat="1" applyFont="1" applyFill="1" applyBorder="1" applyAlignment="1">
      <alignment horizontal="center" vertical="center" wrapText="1"/>
    </xf>
    <xf numFmtId="49" fontId="32" fillId="7" borderId="27" xfId="0" applyNumberFormat="1" applyFont="1" applyFill="1" applyBorder="1" applyAlignment="1">
      <alignment horizontal="center" vertical="center" wrapText="1"/>
    </xf>
    <xf numFmtId="49" fontId="32" fillId="7" borderId="25" xfId="0" applyNumberFormat="1" applyFont="1" applyFill="1" applyBorder="1" applyAlignment="1">
      <alignment horizontal="left" indent="1"/>
    </xf>
    <xf numFmtId="49" fontId="32" fillId="7" borderId="26" xfId="0" applyNumberFormat="1" applyFont="1" applyFill="1" applyBorder="1" applyAlignment="1">
      <alignment horizontal="left" indent="1"/>
    </xf>
    <xf numFmtId="0" fontId="28" fillId="0" borderId="36" xfId="0" applyFont="1" applyBorder="1" applyAlignment="1">
      <alignment vertical="center" textRotation="90"/>
    </xf>
    <xf numFmtId="0" fontId="28" fillId="0" borderId="29" xfId="0" applyFont="1" applyBorder="1" applyAlignment="1">
      <alignment vertical="center" textRotation="90"/>
    </xf>
    <xf numFmtId="0" fontId="37" fillId="0" borderId="17" xfId="0" applyFont="1" applyBorder="1" applyAlignment="1">
      <alignment horizontal="left" wrapText="1"/>
    </xf>
    <xf numFmtId="0" fontId="37" fillId="0" borderId="19" xfId="0" applyFont="1" applyBorder="1" applyAlignment="1">
      <alignment horizontal="left" wrapText="1"/>
    </xf>
    <xf numFmtId="0" fontId="33" fillId="7" borderId="12" xfId="0" applyFont="1" applyFill="1" applyBorder="1" applyAlignment="1">
      <alignment horizontal="left" vertical="top" indent="1"/>
    </xf>
    <xf numFmtId="0" fontId="33" fillId="7" borderId="13" xfId="0" applyFont="1" applyFill="1" applyBorder="1" applyAlignment="1">
      <alignment horizontal="left" vertical="top" indent="1"/>
    </xf>
    <xf numFmtId="164" fontId="33" fillId="7" borderId="12" xfId="0" applyNumberFormat="1" applyFont="1" applyFill="1" applyBorder="1" applyAlignment="1">
      <alignment horizontal="left" vertical="top" indent="1"/>
    </xf>
    <xf numFmtId="164" fontId="33" fillId="7" borderId="15" xfId="0" applyNumberFormat="1" applyFont="1" applyFill="1" applyBorder="1" applyAlignment="1">
      <alignment horizontal="left" vertical="top" indent="1"/>
    </xf>
    <xf numFmtId="164" fontId="35" fillId="0" borderId="5" xfId="0" applyNumberFormat="1" applyFont="1" applyFill="1" applyBorder="1" applyAlignment="1">
      <alignment horizontal="left"/>
    </xf>
    <xf numFmtId="164" fontId="35" fillId="0" borderId="20" xfId="0" applyNumberFormat="1" applyFont="1" applyFill="1" applyBorder="1" applyAlignment="1">
      <alignment horizontal="left"/>
    </xf>
    <xf numFmtId="49" fontId="32" fillId="7" borderId="45" xfId="0" applyNumberFormat="1" applyFont="1" applyFill="1" applyBorder="1" applyAlignment="1">
      <alignment horizontal="center" vertical="top" wrapText="1"/>
    </xf>
    <xf numFmtId="49" fontId="32" fillId="7" borderId="46" xfId="0" applyNumberFormat="1" applyFont="1" applyFill="1" applyBorder="1" applyAlignment="1">
      <alignment horizontal="center" vertical="top" wrapText="1"/>
    </xf>
    <xf numFmtId="49" fontId="32" fillId="7" borderId="28" xfId="0" applyNumberFormat="1" applyFont="1" applyFill="1" applyBorder="1" applyAlignment="1">
      <alignment horizontal="center" vertical="top" wrapText="1"/>
    </xf>
    <xf numFmtId="49" fontId="32" fillId="7" borderId="7" xfId="0" applyNumberFormat="1" applyFont="1" applyFill="1" applyBorder="1" applyAlignment="1">
      <alignment horizontal="center" vertical="top" wrapText="1"/>
    </xf>
    <xf numFmtId="49" fontId="32" fillId="7" borderId="0" xfId="0" applyNumberFormat="1" applyFont="1" applyFill="1" applyBorder="1" applyAlignment="1">
      <alignment horizontal="center" vertical="top" wrapText="1"/>
    </xf>
    <xf numFmtId="49" fontId="32" fillId="7" borderId="16" xfId="0" applyNumberFormat="1" applyFont="1" applyFill="1" applyBorder="1" applyAlignment="1">
      <alignment horizontal="center" vertical="top" wrapText="1"/>
    </xf>
    <xf numFmtId="0" fontId="25" fillId="0" borderId="33" xfId="0" applyFont="1" applyBorder="1" applyAlignment="1">
      <alignment horizontal="left" vertical="center" indent="2"/>
    </xf>
    <xf numFmtId="0" fontId="25" fillId="0" borderId="34" xfId="0" applyFont="1" applyBorder="1" applyAlignment="1">
      <alignment horizontal="left" vertical="center" indent="2"/>
    </xf>
    <xf numFmtId="0" fontId="25" fillId="0" borderId="30" xfId="0" applyFont="1" applyBorder="1" applyAlignment="1">
      <alignment horizontal="left" vertical="center" indent="2"/>
    </xf>
    <xf numFmtId="0" fontId="25" fillId="0" borderId="31" xfId="0" applyFont="1" applyBorder="1" applyAlignment="1">
      <alignment horizontal="left" vertical="center" indent="2"/>
    </xf>
    <xf numFmtId="49" fontId="32" fillId="5" borderId="10" xfId="0" applyNumberFormat="1" applyFont="1" applyFill="1" applyBorder="1" applyAlignment="1">
      <alignment horizontal="left" indent="1"/>
    </xf>
    <xf numFmtId="49" fontId="32" fillId="5" borderId="6" xfId="0" applyNumberFormat="1" applyFont="1" applyFill="1" applyBorder="1" applyAlignment="1">
      <alignment horizontal="left" indent="1"/>
    </xf>
    <xf numFmtId="0" fontId="31" fillId="0" borderId="7" xfId="0" applyFont="1" applyBorder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16" xfId="0" applyFont="1" applyBorder="1" applyAlignment="1">
      <alignment horizontal="left" vertical="center"/>
    </xf>
    <xf numFmtId="0" fontId="23" fillId="4" borderId="10" xfId="0" applyFont="1" applyFill="1" applyBorder="1" applyAlignment="1">
      <alignment horizontal="left" indent="1"/>
    </xf>
    <xf numFmtId="0" fontId="23" fillId="4" borderId="6" xfId="0" applyFont="1" applyFill="1" applyBorder="1" applyAlignment="1">
      <alignment horizontal="left" indent="1"/>
    </xf>
    <xf numFmtId="0" fontId="23" fillId="4" borderId="16" xfId="0" applyFont="1" applyFill="1" applyBorder="1" applyAlignment="1">
      <alignment horizontal="left" indent="1"/>
    </xf>
    <xf numFmtId="0" fontId="33" fillId="5" borderId="22" xfId="0" applyFont="1" applyFill="1" applyBorder="1" applyAlignment="1">
      <alignment horizontal="left" vertical="top" indent="1"/>
    </xf>
    <xf numFmtId="0" fontId="33" fillId="5" borderId="23" xfId="0" applyFont="1" applyFill="1" applyBorder="1" applyAlignment="1">
      <alignment horizontal="left" vertical="top" indent="1"/>
    </xf>
    <xf numFmtId="49" fontId="32" fillId="5" borderId="10" xfId="0" applyNumberFormat="1" applyFont="1" applyFill="1" applyBorder="1" applyAlignment="1">
      <alignment horizontal="center" vertical="center" wrapText="1"/>
    </xf>
    <xf numFmtId="49" fontId="32" fillId="5" borderId="16" xfId="0" applyNumberFormat="1" applyFont="1" applyFill="1" applyBorder="1" applyAlignment="1">
      <alignment horizontal="center" vertical="center" wrapText="1"/>
    </xf>
    <xf numFmtId="49" fontId="32" fillId="5" borderId="22" xfId="0" applyNumberFormat="1" applyFont="1" applyFill="1" applyBorder="1" applyAlignment="1">
      <alignment horizontal="center" vertical="center" wrapText="1"/>
    </xf>
    <xf numFmtId="49" fontId="32" fillId="5" borderId="27" xfId="0" applyNumberFormat="1" applyFont="1" applyFill="1" applyBorder="1" applyAlignment="1">
      <alignment horizontal="center" vertical="center" wrapText="1"/>
    </xf>
    <xf numFmtId="49" fontId="32" fillId="5" borderId="25" xfId="0" applyNumberFormat="1" applyFont="1" applyFill="1" applyBorder="1" applyAlignment="1">
      <alignment horizontal="left" indent="1"/>
    </xf>
    <xf numFmtId="49" fontId="32" fillId="5" borderId="26" xfId="0" applyNumberFormat="1" applyFont="1" applyFill="1" applyBorder="1" applyAlignment="1">
      <alignment horizontal="left" indent="1"/>
    </xf>
    <xf numFmtId="49" fontId="32" fillId="5" borderId="45" xfId="0" applyNumberFormat="1" applyFont="1" applyFill="1" applyBorder="1" applyAlignment="1">
      <alignment horizontal="center" vertical="top" wrapText="1"/>
    </xf>
    <xf numFmtId="49" fontId="32" fillId="5" borderId="46" xfId="0" applyNumberFormat="1" applyFont="1" applyFill="1" applyBorder="1" applyAlignment="1">
      <alignment horizontal="center" vertical="top" wrapText="1"/>
    </xf>
    <xf numFmtId="49" fontId="32" fillId="5" borderId="28" xfId="0" applyNumberFormat="1" applyFont="1" applyFill="1" applyBorder="1" applyAlignment="1">
      <alignment horizontal="center" vertical="top" wrapText="1"/>
    </xf>
    <xf numFmtId="49" fontId="32" fillId="5" borderId="7" xfId="0" applyNumberFormat="1" applyFont="1" applyFill="1" applyBorder="1" applyAlignment="1">
      <alignment horizontal="center" vertical="top" wrapText="1"/>
    </xf>
    <xf numFmtId="49" fontId="32" fillId="5" borderId="0" xfId="0" applyNumberFormat="1" applyFont="1" applyFill="1" applyBorder="1" applyAlignment="1">
      <alignment horizontal="center" vertical="top" wrapText="1"/>
    </xf>
    <xf numFmtId="49" fontId="32" fillId="5" borderId="16" xfId="0" applyNumberFormat="1" applyFont="1" applyFill="1" applyBorder="1" applyAlignment="1">
      <alignment horizontal="center" vertical="top" wrapText="1"/>
    </xf>
    <xf numFmtId="0" fontId="33" fillId="5" borderId="12" xfId="0" applyFont="1" applyFill="1" applyBorder="1" applyAlignment="1">
      <alignment horizontal="left" vertical="top" indent="1"/>
    </xf>
    <xf numFmtId="0" fontId="33" fillId="5" borderId="13" xfId="0" applyFont="1" applyFill="1" applyBorder="1" applyAlignment="1">
      <alignment horizontal="left" vertical="top" indent="1"/>
    </xf>
    <xf numFmtId="164" fontId="33" fillId="5" borderId="12" xfId="0" applyNumberFormat="1" applyFont="1" applyFill="1" applyBorder="1" applyAlignment="1">
      <alignment horizontal="left" vertical="top" indent="1"/>
    </xf>
    <xf numFmtId="164" fontId="33" fillId="5" borderId="15" xfId="0" applyNumberFormat="1" applyFont="1" applyFill="1" applyBorder="1" applyAlignment="1">
      <alignment horizontal="left" vertical="top" indent="1"/>
    </xf>
    <xf numFmtId="0" fontId="33" fillId="5" borderId="27" xfId="0" applyFont="1" applyFill="1" applyBorder="1" applyAlignment="1">
      <alignment horizontal="left" vertical="top" indent="1"/>
    </xf>
    <xf numFmtId="49" fontId="32" fillId="5" borderId="10" xfId="0" applyNumberFormat="1" applyFont="1" applyFill="1" applyBorder="1" applyAlignment="1">
      <alignment horizontal="left" vertical="center" indent="1"/>
    </xf>
    <xf numFmtId="49" fontId="32" fillId="5" borderId="16" xfId="0" applyNumberFormat="1" applyFont="1" applyFill="1" applyBorder="1" applyAlignment="1">
      <alignment horizontal="left" vertical="center" indent="1"/>
    </xf>
    <xf numFmtId="0" fontId="23" fillId="0" borderId="3" xfId="0" applyFont="1" applyBorder="1" applyAlignment="1">
      <alignment horizontal="left"/>
    </xf>
    <xf numFmtId="0" fontId="23" fillId="0" borderId="18" xfId="0" applyFont="1" applyBorder="1" applyAlignment="1">
      <alignment horizontal="left"/>
    </xf>
    <xf numFmtId="164" fontId="38" fillId="0" borderId="5" xfId="0" applyNumberFormat="1" applyFont="1" applyFill="1" applyBorder="1" applyAlignment="1">
      <alignment horizontal="left"/>
    </xf>
    <xf numFmtId="164" fontId="38" fillId="0" borderId="20" xfId="0" applyNumberFormat="1" applyFont="1" applyFill="1" applyBorder="1" applyAlignment="1">
      <alignment horizontal="left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6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60"/>
      <tableStyleElement type="headerRow" dxfId="59"/>
      <tableStyleElement type="totalRow" dxfId="58"/>
      <tableStyleElement type="firstColumn" dxfId="57"/>
      <tableStyleElement type="lastColumn" dxfId="56"/>
      <tableStyleElement type="firstRowStripe" dxfId="55"/>
      <tableStyleElement type="firstColumnStripe" dxfId="54"/>
    </tableStyle>
    <tableStyle name="TableStyleLight9 2" pivot="0" count="4">
      <tableStyleElement type="wholeTable" dxfId="53"/>
      <tableStyleElement type="headerRow" dxfId="52"/>
      <tableStyleElement type="totalRow" dxfId="51"/>
      <tableStyleElement type="firstColumn" dxfId="5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8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</xdr:row>
      <xdr:rowOff>28575</xdr:rowOff>
    </xdr:from>
    <xdr:to>
      <xdr:col>18</xdr:col>
      <xdr:colOff>552450</xdr:colOff>
      <xdr:row>2</xdr:row>
      <xdr:rowOff>238124</xdr:rowOff>
    </xdr:to>
    <xdr:sp macro="" textlink="">
      <xdr:nvSpPr>
        <xdr:cNvPr id="3" name="TextBox 2"/>
        <xdr:cNvSpPr txBox="1"/>
      </xdr:nvSpPr>
      <xdr:spPr>
        <a:xfrm>
          <a:off x="9639300" y="171450"/>
          <a:ext cx="2286000" cy="4190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000" b="1">
              <a:solidFill>
                <a:schemeClr val="accent1"/>
              </a:solidFill>
            </a:rPr>
            <a:t>Haga clic en el control de número para cambiar</a:t>
          </a:r>
          <a:r>
            <a:rPr lang="en-US" sz="1000" b="1" baseline="0">
              <a:solidFill>
                <a:schemeClr val="accent1"/>
              </a:solidFill>
            </a:rPr>
            <a:t> el año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K34" sqref="K34:K3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00" t="s">
        <v>4</v>
      </c>
      <c r="C2" s="21"/>
      <c r="D2" s="21"/>
      <c r="E2" s="21"/>
      <c r="F2" s="21"/>
      <c r="G2" s="21"/>
      <c r="H2" s="21"/>
      <c r="I2" s="21"/>
      <c r="J2" s="22"/>
      <c r="K2" s="74" t="s">
        <v>3</v>
      </c>
      <c r="L2" s="75">
        <v>2013</v>
      </c>
      <c r="M2" s="75"/>
      <c r="N2" s="81">
        <v>2018</v>
      </c>
    </row>
    <row r="3" spans="1:14" ht="21" customHeight="1" x14ac:dyDescent="0.2">
      <c r="A3" s="4"/>
      <c r="B3" s="101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6"/>
      <c r="L3" s="77"/>
      <c r="M3" s="77"/>
      <c r="N3" s="82"/>
    </row>
    <row r="4" spans="1:14" ht="18" customHeight="1" x14ac:dyDescent="0.2">
      <c r="A4" s="4"/>
      <c r="B4" s="101"/>
      <c r="C4" s="10">
        <f>IF(DAY(JanSun1)=1,JanSun1-6,JanSun1+1)</f>
        <v>43101</v>
      </c>
      <c r="D4" s="10">
        <f>IF(DAY(JanSun1)=1,JanSun1-5,JanSun1+2)</f>
        <v>43102</v>
      </c>
      <c r="E4" s="10">
        <f>IF(DAY(JanSun1)=1,JanSun1-4,JanSun1+3)</f>
        <v>43103</v>
      </c>
      <c r="F4" s="10">
        <f>IF(DAY(JanSun1)=1,JanSun1-3,JanSun1+4)</f>
        <v>43104</v>
      </c>
      <c r="G4" s="10">
        <f>IF(DAY(JanSun1)=1,JanSun1-2,JanSun1+5)</f>
        <v>43105</v>
      </c>
      <c r="H4" s="10">
        <f>IF(DAY(JanSun1)=1,JanSun1-1,JanSun1+6)</f>
        <v>43106</v>
      </c>
      <c r="I4" s="10">
        <f>IF(DAY(JanSun1)=1,JanSun1,JanSun1+7)</f>
        <v>43107</v>
      </c>
      <c r="J4" s="5"/>
      <c r="K4" s="78" t="s">
        <v>12</v>
      </c>
      <c r="L4" s="16">
        <v>3</v>
      </c>
      <c r="M4" s="79"/>
      <c r="N4" s="80"/>
    </row>
    <row r="5" spans="1:14" ht="18" customHeight="1" x14ac:dyDescent="0.2">
      <c r="A5" s="4"/>
      <c r="B5" s="101"/>
      <c r="C5" s="10">
        <f>IF(DAY(JanSun1)=1,JanSun1+1,JanSun1+8)</f>
        <v>43108</v>
      </c>
      <c r="D5" s="10">
        <f>IF(DAY(JanSun1)=1,JanSun1+2,JanSun1+9)</f>
        <v>43109</v>
      </c>
      <c r="E5" s="10">
        <f>IF(DAY(JanSun1)=1,JanSun1+3,JanSun1+10)</f>
        <v>43110</v>
      </c>
      <c r="F5" s="10">
        <f>IF(DAY(JanSun1)=1,JanSun1+4,JanSun1+11)</f>
        <v>43111</v>
      </c>
      <c r="G5" s="10">
        <f>IF(DAY(JanSun1)=1,JanSun1+5,JanSun1+12)</f>
        <v>43112</v>
      </c>
      <c r="H5" s="10">
        <f>IF(DAY(JanSun1)=1,JanSun1+6,JanSun1+13)</f>
        <v>43113</v>
      </c>
      <c r="I5" s="10">
        <f>IF(DAY(JanSun1)=1,JanSun1+7,JanSun1+14)</f>
        <v>43114</v>
      </c>
      <c r="J5" s="5"/>
      <c r="K5" s="70"/>
      <c r="L5" s="17"/>
      <c r="M5" s="63"/>
      <c r="N5" s="64"/>
    </row>
    <row r="6" spans="1:14" ht="18" customHeight="1" x14ac:dyDescent="0.2">
      <c r="A6" s="4"/>
      <c r="B6" s="101"/>
      <c r="C6" s="10">
        <f>IF(DAY(JanSun1)=1,JanSun1+8,JanSun1+15)</f>
        <v>43115</v>
      </c>
      <c r="D6" s="10">
        <f>IF(DAY(JanSun1)=1,JanSun1+9,JanSun1+16)</f>
        <v>43116</v>
      </c>
      <c r="E6" s="10">
        <f>IF(DAY(JanSun1)=1,JanSun1+10,JanSun1+17)</f>
        <v>43117</v>
      </c>
      <c r="F6" s="10">
        <f>IF(DAY(JanSun1)=1,JanSun1+11,JanSun1+18)</f>
        <v>43118</v>
      </c>
      <c r="G6" s="10">
        <f>IF(DAY(JanSun1)=1,JanSun1+12,JanSun1+19)</f>
        <v>43119</v>
      </c>
      <c r="H6" s="10">
        <f>IF(DAY(JanSun1)=1,JanSun1+13,JanSun1+20)</f>
        <v>43120</v>
      </c>
      <c r="I6" s="10">
        <f>IF(DAY(JanSun1)=1,JanSun1+14,JanSun1+21)</f>
        <v>43121</v>
      </c>
      <c r="J6" s="5"/>
      <c r="K6" s="70"/>
      <c r="L6" s="17"/>
      <c r="M6" s="63"/>
      <c r="N6" s="64"/>
    </row>
    <row r="7" spans="1:14" ht="18" customHeight="1" x14ac:dyDescent="0.2">
      <c r="A7" s="4"/>
      <c r="B7" s="101"/>
      <c r="C7" s="10">
        <f>IF(DAY(JanSun1)=1,JanSun1+15,JanSun1+22)</f>
        <v>43122</v>
      </c>
      <c r="D7" s="10">
        <f>IF(DAY(JanSun1)=1,JanSun1+16,JanSun1+23)</f>
        <v>43123</v>
      </c>
      <c r="E7" s="10">
        <f>IF(DAY(JanSun1)=1,JanSun1+17,JanSun1+24)</f>
        <v>43124</v>
      </c>
      <c r="F7" s="10">
        <f>IF(DAY(JanSun1)=1,JanSun1+18,JanSun1+25)</f>
        <v>43125</v>
      </c>
      <c r="G7" s="10">
        <f>IF(DAY(JanSun1)=1,JanSun1+19,JanSun1+26)</f>
        <v>43126</v>
      </c>
      <c r="H7" s="10">
        <f>IF(DAY(JanSun1)=1,JanSun1+20,JanSun1+27)</f>
        <v>43127</v>
      </c>
      <c r="I7" s="10">
        <f>IF(DAY(JanSun1)=1,JanSun1+21,JanSun1+28)</f>
        <v>43128</v>
      </c>
      <c r="J7" s="5"/>
      <c r="K7" s="11"/>
      <c r="L7" s="17"/>
      <c r="M7" s="63"/>
      <c r="N7" s="64"/>
    </row>
    <row r="8" spans="1:14" ht="18.75" customHeight="1" x14ac:dyDescent="0.2">
      <c r="A8" s="4"/>
      <c r="B8" s="101"/>
      <c r="C8" s="10">
        <f>IF(DAY(JanSun1)=1,JanSun1+22,JanSun1+29)</f>
        <v>43129</v>
      </c>
      <c r="D8" s="10">
        <f>IF(DAY(JanSun1)=1,JanSun1+23,JanSun1+30)</f>
        <v>43130</v>
      </c>
      <c r="E8" s="10">
        <f>IF(DAY(JanSun1)=1,JanSun1+24,JanSun1+31)</f>
        <v>43131</v>
      </c>
      <c r="F8" s="10">
        <f>IF(DAY(JanSun1)=1,JanSun1+25,JanSun1+32)</f>
        <v>43132</v>
      </c>
      <c r="G8" s="10">
        <f>IF(DAY(JanSun1)=1,JanSun1+26,JanSun1+33)</f>
        <v>43133</v>
      </c>
      <c r="H8" s="10">
        <f>IF(DAY(JanSun1)=1,JanSun1+27,JanSun1+34)</f>
        <v>43134</v>
      </c>
      <c r="I8" s="10">
        <f>IF(DAY(JanSun1)=1,JanSun1+28,JanSun1+35)</f>
        <v>43135</v>
      </c>
      <c r="J8" s="5"/>
      <c r="K8" s="11"/>
      <c r="L8" s="17"/>
      <c r="M8" s="63"/>
      <c r="N8" s="64"/>
    </row>
    <row r="9" spans="1:14" ht="18" customHeight="1" x14ac:dyDescent="0.2">
      <c r="A9" s="4"/>
      <c r="B9" s="101"/>
      <c r="C9" s="10">
        <f>IF(DAY(JanSun1)=1,JanSun1+29,JanSun1+36)</f>
        <v>43136</v>
      </c>
      <c r="D9" s="10">
        <f>IF(DAY(JanSun1)=1,JanSun1+30,JanSun1+37)</f>
        <v>43137</v>
      </c>
      <c r="E9" s="10">
        <f>IF(DAY(JanSun1)=1,JanSun1+31,JanSun1+38)</f>
        <v>43138</v>
      </c>
      <c r="F9" s="10">
        <f>IF(DAY(JanSun1)=1,JanSun1+32,JanSun1+39)</f>
        <v>43139</v>
      </c>
      <c r="G9" s="10">
        <f>IF(DAY(JanSun1)=1,JanSun1+33,JanSun1+40)</f>
        <v>43140</v>
      </c>
      <c r="H9" s="10">
        <f>IF(DAY(JanSun1)=1,JanSun1+34,JanSun1+41)</f>
        <v>43141</v>
      </c>
      <c r="I9" s="10">
        <f>IF(DAY(JanSun1)=1,JanSun1+35,JanSun1+42)</f>
        <v>43142</v>
      </c>
      <c r="J9" s="5"/>
      <c r="K9" s="12"/>
      <c r="L9" s="18"/>
      <c r="M9" s="65"/>
      <c r="N9" s="66"/>
    </row>
    <row r="10" spans="1:14" ht="18" customHeight="1" x14ac:dyDescent="0.2">
      <c r="A10" s="4"/>
      <c r="B10" s="102"/>
      <c r="C10" s="23"/>
      <c r="D10" s="23"/>
      <c r="E10" s="23"/>
      <c r="F10" s="23"/>
      <c r="G10" s="23"/>
      <c r="H10" s="23"/>
      <c r="I10" s="23"/>
      <c r="J10" s="24"/>
      <c r="K10" s="69" t="s">
        <v>13</v>
      </c>
      <c r="L10" s="16">
        <v>18</v>
      </c>
      <c r="M10" s="67"/>
      <c r="N10" s="68"/>
    </row>
    <row r="11" spans="1:14" ht="18" customHeight="1" x14ac:dyDescent="0.2">
      <c r="A11" s="4"/>
      <c r="B11" s="103" t="s">
        <v>11</v>
      </c>
      <c r="C11" s="104"/>
      <c r="D11" s="104"/>
      <c r="E11" s="104"/>
      <c r="F11" s="104"/>
      <c r="G11" s="104"/>
      <c r="H11" s="104"/>
      <c r="I11" s="104"/>
      <c r="J11" s="105"/>
      <c r="K11" s="70"/>
      <c r="L11" s="17"/>
      <c r="M11" s="63"/>
      <c r="N11" s="64"/>
    </row>
    <row r="12" spans="1:14" ht="18" customHeight="1" x14ac:dyDescent="0.2">
      <c r="A12" s="4"/>
      <c r="B12" s="103"/>
      <c r="C12" s="104"/>
      <c r="D12" s="104"/>
      <c r="E12" s="104"/>
      <c r="F12" s="104"/>
      <c r="G12" s="104"/>
      <c r="H12" s="104"/>
      <c r="I12" s="104"/>
      <c r="J12" s="105"/>
      <c r="K12" s="70"/>
      <c r="L12" s="17"/>
      <c r="M12" s="63"/>
      <c r="N12" s="64"/>
    </row>
    <row r="13" spans="1:14" ht="18" customHeight="1" x14ac:dyDescent="0.2">
      <c r="B13" s="3" t="s">
        <v>12</v>
      </c>
      <c r="C13" s="71" t="s">
        <v>13</v>
      </c>
      <c r="D13" s="73"/>
      <c r="E13" s="71" t="s">
        <v>14</v>
      </c>
      <c r="F13" s="73"/>
      <c r="G13" s="71" t="s">
        <v>15</v>
      </c>
      <c r="H13" s="73"/>
      <c r="I13" s="71" t="s">
        <v>16</v>
      </c>
      <c r="J13" s="72"/>
      <c r="K13" s="11"/>
      <c r="L13" s="17"/>
      <c r="M13" s="63"/>
      <c r="N13" s="64"/>
    </row>
    <row r="14" spans="1:14" ht="18" customHeight="1" x14ac:dyDescent="0.2">
      <c r="B14" s="8"/>
      <c r="C14" s="85"/>
      <c r="D14" s="86"/>
      <c r="E14" s="85"/>
      <c r="F14" s="86"/>
      <c r="G14" s="85"/>
      <c r="H14" s="86"/>
      <c r="I14" s="85"/>
      <c r="J14" s="94"/>
      <c r="K14" s="11"/>
      <c r="L14" s="17"/>
      <c r="M14" s="63"/>
      <c r="N14" s="64"/>
    </row>
    <row r="15" spans="1:14" ht="18" customHeight="1" x14ac:dyDescent="0.2">
      <c r="B15" s="6"/>
      <c r="C15" s="83"/>
      <c r="D15" s="84"/>
      <c r="E15" s="83"/>
      <c r="F15" s="84"/>
      <c r="G15" s="83"/>
      <c r="H15" s="84"/>
      <c r="I15" s="91"/>
      <c r="J15" s="92"/>
      <c r="K15" s="13"/>
      <c r="L15" s="19"/>
      <c r="M15" s="65"/>
      <c r="N15" s="66"/>
    </row>
    <row r="16" spans="1:14" ht="18" customHeight="1" x14ac:dyDescent="0.2">
      <c r="B16" s="8"/>
      <c r="C16" s="85"/>
      <c r="D16" s="86"/>
      <c r="E16" s="85"/>
      <c r="F16" s="86"/>
      <c r="G16" s="85"/>
      <c r="H16" s="86"/>
      <c r="I16" s="95"/>
      <c r="J16" s="96"/>
      <c r="K16" s="61" t="s">
        <v>14</v>
      </c>
      <c r="L16" s="16"/>
      <c r="M16" s="67"/>
      <c r="N16" s="68"/>
    </row>
    <row r="17" spans="2:14" ht="18" customHeight="1" x14ac:dyDescent="0.2">
      <c r="B17" s="6"/>
      <c r="C17" s="83"/>
      <c r="D17" s="84"/>
      <c r="E17" s="83"/>
      <c r="F17" s="84"/>
      <c r="G17" s="83"/>
      <c r="H17" s="84"/>
      <c r="I17" s="91"/>
      <c r="J17" s="92"/>
      <c r="K17" s="62"/>
      <c r="L17" s="17"/>
      <c r="M17" s="63"/>
      <c r="N17" s="64"/>
    </row>
    <row r="18" spans="2:14" ht="18" customHeight="1" x14ac:dyDescent="0.2">
      <c r="B18" s="9"/>
      <c r="C18" s="87"/>
      <c r="D18" s="88"/>
      <c r="E18" s="87"/>
      <c r="F18" s="88"/>
      <c r="G18" s="87"/>
      <c r="H18" s="88"/>
      <c r="I18" s="87"/>
      <c r="J18" s="93"/>
      <c r="K18" s="62"/>
      <c r="L18" s="17"/>
      <c r="M18" s="63"/>
      <c r="N18" s="64"/>
    </row>
    <row r="19" spans="2:14" ht="18" customHeight="1" x14ac:dyDescent="0.2">
      <c r="B19" s="6"/>
      <c r="C19" s="83"/>
      <c r="D19" s="84"/>
      <c r="E19" s="83"/>
      <c r="F19" s="84"/>
      <c r="G19" s="83"/>
      <c r="H19" s="84"/>
      <c r="I19" s="91"/>
      <c r="J19" s="92"/>
      <c r="K19" s="11"/>
      <c r="L19" s="17"/>
      <c r="M19" s="63"/>
      <c r="N19" s="64"/>
    </row>
    <row r="20" spans="2:14" ht="18" customHeight="1" x14ac:dyDescent="0.2">
      <c r="B20" s="8"/>
      <c r="C20" s="85"/>
      <c r="D20" s="86"/>
      <c r="E20" s="85"/>
      <c r="F20" s="86"/>
      <c r="G20" s="85"/>
      <c r="H20" s="86"/>
      <c r="I20" s="85"/>
      <c r="J20" s="94"/>
      <c r="K20" s="11"/>
      <c r="L20" s="17"/>
      <c r="M20" s="63"/>
      <c r="N20" s="64"/>
    </row>
    <row r="21" spans="2:14" ht="18" customHeight="1" x14ac:dyDescent="0.2">
      <c r="B21" s="6"/>
      <c r="C21" s="83"/>
      <c r="D21" s="84"/>
      <c r="E21" s="83"/>
      <c r="F21" s="84"/>
      <c r="G21" s="83"/>
      <c r="H21" s="84"/>
      <c r="I21" s="97"/>
      <c r="J21" s="98"/>
      <c r="K21" s="13"/>
      <c r="L21" s="19"/>
      <c r="M21" s="65"/>
      <c r="N21" s="66"/>
    </row>
    <row r="22" spans="2:14" ht="18" customHeight="1" x14ac:dyDescent="0.2">
      <c r="B22" s="8"/>
      <c r="C22" s="85"/>
      <c r="D22" s="86"/>
      <c r="E22" s="85"/>
      <c r="F22" s="86"/>
      <c r="G22" s="85"/>
      <c r="H22" s="86"/>
      <c r="I22" s="85"/>
      <c r="J22" s="94"/>
      <c r="K22" s="61" t="s">
        <v>15</v>
      </c>
      <c r="L22" s="16"/>
      <c r="M22" s="67"/>
      <c r="N22" s="68"/>
    </row>
    <row r="23" spans="2:14" ht="18" customHeight="1" x14ac:dyDescent="0.2">
      <c r="B23" s="6"/>
      <c r="C23" s="83"/>
      <c r="D23" s="84"/>
      <c r="E23" s="83"/>
      <c r="F23" s="84"/>
      <c r="G23" s="83"/>
      <c r="H23" s="84"/>
      <c r="I23" s="91"/>
      <c r="J23" s="92"/>
      <c r="K23" s="62"/>
      <c r="L23" s="17"/>
      <c r="M23" s="63"/>
      <c r="N23" s="64"/>
    </row>
    <row r="24" spans="2:14" ht="18" customHeight="1" x14ac:dyDescent="0.2">
      <c r="B24" s="8"/>
      <c r="C24" s="85"/>
      <c r="D24" s="86"/>
      <c r="E24" s="85"/>
      <c r="F24" s="86"/>
      <c r="G24" s="85"/>
      <c r="H24" s="86"/>
      <c r="I24" s="85"/>
      <c r="J24" s="94"/>
      <c r="K24" s="62"/>
      <c r="L24" s="17"/>
      <c r="M24" s="63"/>
      <c r="N24" s="64"/>
    </row>
    <row r="25" spans="2:14" ht="18" customHeight="1" x14ac:dyDescent="0.2">
      <c r="B25" s="6"/>
      <c r="C25" s="83"/>
      <c r="D25" s="84"/>
      <c r="E25" s="83"/>
      <c r="F25" s="84"/>
      <c r="G25" s="83"/>
      <c r="H25" s="84"/>
      <c r="I25" s="91"/>
      <c r="J25" s="92"/>
      <c r="K25" s="62"/>
      <c r="L25" s="17"/>
      <c r="M25" s="63"/>
      <c r="N25" s="64"/>
    </row>
    <row r="26" spans="2:14" ht="18" customHeight="1" x14ac:dyDescent="0.2">
      <c r="B26" s="8"/>
      <c r="C26" s="85"/>
      <c r="D26" s="86"/>
      <c r="E26" s="85"/>
      <c r="F26" s="86"/>
      <c r="G26" s="85"/>
      <c r="H26" s="86"/>
      <c r="I26" s="85"/>
      <c r="J26" s="94"/>
      <c r="K26" s="11"/>
      <c r="L26" s="17"/>
      <c r="M26" s="63"/>
      <c r="N26" s="64"/>
    </row>
    <row r="27" spans="2:14" ht="18" customHeight="1" x14ac:dyDescent="0.2">
      <c r="B27" s="6"/>
      <c r="C27" s="83"/>
      <c r="D27" s="84"/>
      <c r="E27" s="83"/>
      <c r="F27" s="84"/>
      <c r="G27" s="83"/>
      <c r="H27" s="84"/>
      <c r="I27" s="91"/>
      <c r="J27" s="92"/>
      <c r="K27" s="13"/>
      <c r="L27" s="19"/>
      <c r="M27" s="65"/>
      <c r="N27" s="66"/>
    </row>
    <row r="28" spans="2:14" ht="18" customHeight="1" x14ac:dyDescent="0.2">
      <c r="B28" s="8"/>
      <c r="C28" s="85"/>
      <c r="D28" s="86"/>
      <c r="E28" s="85"/>
      <c r="F28" s="86"/>
      <c r="G28" s="85"/>
      <c r="H28" s="86"/>
      <c r="I28" s="85"/>
      <c r="J28" s="94"/>
      <c r="K28" s="69" t="s">
        <v>16</v>
      </c>
      <c r="L28" s="16"/>
      <c r="M28" s="67"/>
      <c r="N28" s="68"/>
    </row>
    <row r="29" spans="2:14" ht="18" customHeight="1" x14ac:dyDescent="0.2">
      <c r="B29" s="6"/>
      <c r="C29" s="83"/>
      <c r="D29" s="84"/>
      <c r="E29" s="83"/>
      <c r="F29" s="84"/>
      <c r="G29" s="83"/>
      <c r="H29" s="84"/>
      <c r="I29" s="83"/>
      <c r="J29" s="99"/>
      <c r="K29" s="70"/>
      <c r="L29" s="17"/>
      <c r="M29" s="63"/>
      <c r="N29" s="64"/>
    </row>
    <row r="30" spans="2:14" ht="18" customHeight="1" x14ac:dyDescent="0.2">
      <c r="B30" s="8"/>
      <c r="C30" s="85"/>
      <c r="D30" s="86"/>
      <c r="E30" s="85"/>
      <c r="F30" s="86"/>
      <c r="G30" s="85"/>
      <c r="H30" s="86"/>
      <c r="I30" s="108"/>
      <c r="J30" s="109"/>
      <c r="K30" s="70"/>
      <c r="L30" s="17"/>
      <c r="M30" s="63"/>
      <c r="N30" s="64"/>
    </row>
    <row r="31" spans="2:14" ht="18" customHeight="1" x14ac:dyDescent="0.2">
      <c r="B31" s="6"/>
      <c r="C31" s="83"/>
      <c r="D31" s="84"/>
      <c r="E31" s="83"/>
      <c r="F31" s="84"/>
      <c r="G31" s="83"/>
      <c r="H31" s="84"/>
      <c r="I31" s="83"/>
      <c r="J31" s="99"/>
      <c r="K31" s="14"/>
      <c r="L31" s="17"/>
      <c r="M31" s="63"/>
      <c r="N31" s="64"/>
    </row>
    <row r="32" spans="2:14" ht="18" customHeight="1" x14ac:dyDescent="0.2">
      <c r="B32" s="8"/>
      <c r="C32" s="85"/>
      <c r="D32" s="86"/>
      <c r="E32" s="85"/>
      <c r="F32" s="86"/>
      <c r="G32" s="85"/>
      <c r="H32" s="86"/>
      <c r="I32" s="95"/>
      <c r="J32" s="96"/>
      <c r="K32" s="14"/>
      <c r="L32" s="17"/>
      <c r="M32" s="63"/>
      <c r="N32" s="64"/>
    </row>
    <row r="33" spans="2:14" ht="18" customHeight="1" x14ac:dyDescent="0.2">
      <c r="B33" s="7"/>
      <c r="C33" s="89"/>
      <c r="D33" s="90"/>
      <c r="E33" s="89"/>
      <c r="F33" s="90"/>
      <c r="G33" s="89"/>
      <c r="H33" s="90"/>
      <c r="I33" s="110"/>
      <c r="J33" s="111"/>
      <c r="K33" s="15"/>
      <c r="L33" s="20"/>
      <c r="M33" s="106"/>
      <c r="N33" s="107"/>
    </row>
  </sheetData>
  <mergeCells count="123">
    <mergeCell ref="B2:B10"/>
    <mergeCell ref="B11:J12"/>
    <mergeCell ref="M31:N31"/>
    <mergeCell ref="M32:N32"/>
    <mergeCell ref="M33:N33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G30:H30"/>
    <mergeCell ref="G31:H31"/>
    <mergeCell ref="G32:H32"/>
    <mergeCell ref="G33:H33"/>
    <mergeCell ref="I30:J30"/>
    <mergeCell ref="I31:J31"/>
    <mergeCell ref="I32:J32"/>
    <mergeCell ref="I33:J33"/>
    <mergeCell ref="I25:J25"/>
    <mergeCell ref="I26:J26"/>
    <mergeCell ref="I27:J27"/>
    <mergeCell ref="I28:J28"/>
    <mergeCell ref="I29:J29"/>
    <mergeCell ref="G25:H25"/>
    <mergeCell ref="G26:H26"/>
    <mergeCell ref="G27:H27"/>
    <mergeCell ref="G28:H28"/>
    <mergeCell ref="G29:H29"/>
    <mergeCell ref="I22:J22"/>
    <mergeCell ref="I23:J23"/>
    <mergeCell ref="G22:H22"/>
    <mergeCell ref="G23:H23"/>
    <mergeCell ref="G24:H24"/>
    <mergeCell ref="I24:J24"/>
    <mergeCell ref="G20:H20"/>
    <mergeCell ref="G21:H21"/>
    <mergeCell ref="I19:J19"/>
    <mergeCell ref="I20:J20"/>
    <mergeCell ref="I21:J21"/>
    <mergeCell ref="G17:H17"/>
    <mergeCell ref="I17:J17"/>
    <mergeCell ref="G18:H18"/>
    <mergeCell ref="I18:J18"/>
    <mergeCell ref="G19:H19"/>
    <mergeCell ref="G14:H14"/>
    <mergeCell ref="I14:J14"/>
    <mergeCell ref="G15:H15"/>
    <mergeCell ref="I15:J15"/>
    <mergeCell ref="G16:H16"/>
    <mergeCell ref="I16:J16"/>
    <mergeCell ref="E18:F18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E28:F28"/>
    <mergeCell ref="E27:F27"/>
    <mergeCell ref="E26:F26"/>
    <mergeCell ref="E25:F25"/>
    <mergeCell ref="E24:F24"/>
    <mergeCell ref="E33:F33"/>
    <mergeCell ref="E32:F32"/>
    <mergeCell ref="E31:F31"/>
    <mergeCell ref="E30:F30"/>
    <mergeCell ref="E29:F29"/>
    <mergeCell ref="C16:D16"/>
    <mergeCell ref="C17:D17"/>
    <mergeCell ref="C18:D1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K28:K30"/>
    <mergeCell ref="I13:J13"/>
    <mergeCell ref="G13:H13"/>
    <mergeCell ref="E13:F13"/>
    <mergeCell ref="C13:D1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C19:D19"/>
    <mergeCell ref="C20:D20"/>
    <mergeCell ref="C21:D21"/>
    <mergeCell ref="C22:D22"/>
    <mergeCell ref="C23:D23"/>
    <mergeCell ref="C14:D14"/>
    <mergeCell ref="C15:D15"/>
    <mergeCell ref="K16:K18"/>
    <mergeCell ref="K22:K25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</mergeCells>
  <phoneticPr fontId="2" type="noConversion"/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15">
      <formula>VLOOKUP(DAY(C4),DíasDeTareas,1,FALSE)=DAY(C4)</formula>
    </cfRule>
  </conditionalFormatting>
  <conditionalFormatting sqref="B14:J33">
    <cfRule type="expression" dxfId="46" priority="1">
      <formula>B14&lt;&gt;""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3"/>
  <sheetViews>
    <sheetView showGridLines="0" tabSelected="1" topLeftCell="B1" zoomScaleNormal="100" zoomScalePageLayoutView="84" workbookViewId="0">
      <selection activeCell="M22" sqref="M22:N22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4" width="10.710937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12" t="s">
        <v>18</v>
      </c>
      <c r="C2" s="29"/>
      <c r="D2" s="29"/>
      <c r="E2" s="29"/>
      <c r="F2" s="29"/>
      <c r="G2" s="29"/>
      <c r="H2" s="29"/>
      <c r="I2" s="29"/>
      <c r="J2" s="30"/>
      <c r="K2" s="115" t="s">
        <v>30</v>
      </c>
      <c r="L2" s="116">
        <v>2013</v>
      </c>
      <c r="M2" s="116"/>
      <c r="N2" s="31"/>
    </row>
    <row r="3" spans="1:14" ht="21" customHeight="1" x14ac:dyDescent="0.2">
      <c r="A3" s="28"/>
      <c r="B3" s="113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17"/>
      <c r="L3" s="118"/>
      <c r="M3" s="118"/>
      <c r="N3" s="34"/>
    </row>
    <row r="4" spans="1:14" ht="18" customHeight="1" x14ac:dyDescent="0.2">
      <c r="A4" s="28"/>
      <c r="B4" s="113"/>
      <c r="C4" s="55">
        <f>IF(DAY(OctDom1)=1,OctDom1-6,OctDom1+1)</f>
        <v>43374</v>
      </c>
      <c r="D4" s="55">
        <f>IF(DAY(OctDom1)=1,OctDom1-5,OctDom1+2)</f>
        <v>43375</v>
      </c>
      <c r="E4" s="55">
        <f>IF(DAY(OctDom1)=1,OctDom1-4,OctDom1+3)</f>
        <v>43376</v>
      </c>
      <c r="F4" s="55">
        <f>IF(DAY(OctDom1)=1,OctDom1-3,OctDom1+4)</f>
        <v>43377</v>
      </c>
      <c r="G4" s="55">
        <f>IF(DAY(OctDom1)=1,OctDom1-2,OctDom1+5)</f>
        <v>43378</v>
      </c>
      <c r="H4" s="35">
        <f>IF(DAY(OctDom1)=1,OctDom1-1,OctDom1+6)</f>
        <v>43379</v>
      </c>
      <c r="I4" s="35">
        <f>IF(DAY(OctDom1)=1,OctDom1,OctDom1+7)</f>
        <v>43380</v>
      </c>
      <c r="J4" s="33"/>
      <c r="K4" s="119" t="s">
        <v>12</v>
      </c>
      <c r="L4" s="50">
        <v>1</v>
      </c>
      <c r="M4" s="121" t="s">
        <v>31</v>
      </c>
      <c r="N4" s="122"/>
    </row>
    <row r="5" spans="1:14" ht="18" customHeight="1" x14ac:dyDescent="0.2">
      <c r="A5" s="28"/>
      <c r="B5" s="113"/>
      <c r="C5" s="55">
        <f>IF(DAY(OctDom1)=1,OctDom1+1,OctDom1+8)</f>
        <v>43381</v>
      </c>
      <c r="D5" s="55">
        <f>IF(DAY(OctDom1)=1,OctDom1+2,OctDom1+9)</f>
        <v>43382</v>
      </c>
      <c r="E5" s="55">
        <f>IF(DAY(OctDom1)=1,OctDom1+3,OctDom1+10)</f>
        <v>43383</v>
      </c>
      <c r="F5" s="55">
        <f>IF(DAY(OctDom1)=1,OctDom1+4,OctDom1+11)</f>
        <v>43384</v>
      </c>
      <c r="G5" s="55">
        <f>IF(DAY(OctDom1)=1,OctDom1+5,OctDom1+12)</f>
        <v>43385</v>
      </c>
      <c r="H5" s="35">
        <f>IF(DAY(OctDom1)=1,OctDom1+6,OctDom1+13)</f>
        <v>43386</v>
      </c>
      <c r="I5" s="35">
        <f>IF(DAY(OctDom1)=1,OctDom1+7,OctDom1+14)</f>
        <v>43387</v>
      </c>
      <c r="J5" s="33"/>
      <c r="K5" s="120"/>
      <c r="L5" s="51">
        <v>8</v>
      </c>
      <c r="M5" s="121" t="s">
        <v>51</v>
      </c>
      <c r="N5" s="122"/>
    </row>
    <row r="6" spans="1:14" ht="18" customHeight="1" x14ac:dyDescent="0.2">
      <c r="A6" s="28"/>
      <c r="B6" s="113"/>
      <c r="C6" s="55">
        <f>IF(DAY(OctDom1)=1,OctDom1+8,OctDom1+15)</f>
        <v>43388</v>
      </c>
      <c r="D6" s="55">
        <f>IF(DAY(OctDom1)=1,OctDom1+9,OctDom1+16)</f>
        <v>43389</v>
      </c>
      <c r="E6" s="55">
        <f>IF(DAY(OctDom1)=1,OctDom1+10,OctDom1+17)</f>
        <v>43390</v>
      </c>
      <c r="F6" s="55">
        <f>IF(DAY(OctDom1)=1,OctDom1+11,OctDom1+18)</f>
        <v>43391</v>
      </c>
      <c r="G6" s="55">
        <f>IF(DAY(OctDom1)=1,OctDom1+12,OctDom1+19)</f>
        <v>43392</v>
      </c>
      <c r="H6" s="35">
        <f>IF(DAY(OctDom1)=1,OctDom1+13,OctDom1+20)</f>
        <v>43393</v>
      </c>
      <c r="I6" s="35">
        <f>IF(DAY(OctDom1)=1,OctDom1+14,OctDom1+21)</f>
        <v>43394</v>
      </c>
      <c r="J6" s="33"/>
      <c r="K6" s="120"/>
      <c r="L6" s="51">
        <v>15</v>
      </c>
      <c r="M6" s="123" t="s">
        <v>32</v>
      </c>
      <c r="N6" s="124"/>
    </row>
    <row r="7" spans="1:14" ht="18" customHeight="1" x14ac:dyDescent="0.2">
      <c r="A7" s="28"/>
      <c r="B7" s="113"/>
      <c r="C7" s="55">
        <f>IF(DAY(OctDom1)=1,OctDom1+15,OctDom1+22)</f>
        <v>43395</v>
      </c>
      <c r="D7" s="55">
        <f>IF(DAY(OctDom1)=1,OctDom1+16,OctDom1+23)</f>
        <v>43396</v>
      </c>
      <c r="E7" s="55">
        <f>IF(DAY(OctDom1)=1,OctDom1+17,OctDom1+24)</f>
        <v>43397</v>
      </c>
      <c r="F7" s="55">
        <f>IF(DAY(OctDom1)=1,OctDom1+18,OctDom1+25)</f>
        <v>43398</v>
      </c>
      <c r="G7" s="55">
        <f>IF(DAY(OctDom1)=1,OctDom1+19,OctDom1+26)</f>
        <v>43399</v>
      </c>
      <c r="H7" s="35">
        <f>IF(DAY(OctDom1)=1,OctDom1+20,OctDom1+27)</f>
        <v>43400</v>
      </c>
      <c r="I7" s="35">
        <f>IF(DAY(OctDom1)=1,OctDom1+21,OctDom1+28)</f>
        <v>43401</v>
      </c>
      <c r="J7" s="33"/>
      <c r="K7" s="37"/>
      <c r="L7" s="51">
        <v>22</v>
      </c>
      <c r="M7" t="s">
        <v>37</v>
      </c>
    </row>
    <row r="8" spans="1:14" ht="18.75" customHeight="1" x14ac:dyDescent="0.2">
      <c r="A8" s="28"/>
      <c r="B8" s="113"/>
      <c r="C8" s="35">
        <f>IF(DAY(OctDom1)=1,OctDom1+22,OctDom1+29)</f>
        <v>43402</v>
      </c>
      <c r="D8" s="35">
        <f>IF(DAY(OctDom1)=1,OctDom1+23,OctDom1+30)</f>
        <v>43403</v>
      </c>
      <c r="E8" s="35">
        <f>IF(DAY(OctDom1)=1,OctDom1+24,OctDom1+31)</f>
        <v>43404</v>
      </c>
      <c r="F8" s="35">
        <f>IF(DAY(OctDom1)=1,OctDom1+25,OctDom1+32)</f>
        <v>43405</v>
      </c>
      <c r="G8" s="35">
        <f>IF(DAY(OctDom1)=1,OctDom1+26,OctDom1+33)</f>
        <v>43406</v>
      </c>
      <c r="H8" s="35">
        <f>IF(DAY(OctDom1)=1,OctDom1+27,OctDom1+34)</f>
        <v>43407</v>
      </c>
      <c r="I8" s="35">
        <f>IF(DAY(OctDom1)=1,OctDom1+28,OctDom1+35)</f>
        <v>43408</v>
      </c>
      <c r="J8" s="33"/>
      <c r="K8" s="37"/>
      <c r="L8" s="51">
        <v>29</v>
      </c>
      <c r="M8" s="123" t="s">
        <v>33</v>
      </c>
      <c r="N8" s="124"/>
    </row>
    <row r="9" spans="1:14" ht="18" customHeight="1" x14ac:dyDescent="0.2">
      <c r="A9" s="28"/>
      <c r="B9" s="113"/>
      <c r="C9" s="35">
        <f>IF(DAY(OctDom1)=1,OctDom1+29,OctDom1+36)</f>
        <v>43409</v>
      </c>
      <c r="D9" s="35">
        <f>IF(DAY(OctDom1)=1,OctDom1+30,OctDom1+37)</f>
        <v>43410</v>
      </c>
      <c r="E9" s="35">
        <f>IF(DAY(OctDom1)=1,OctDom1+31,OctDom1+38)</f>
        <v>43411</v>
      </c>
      <c r="F9" s="35">
        <f>IF(DAY(OctDom1)=1,OctDom1+32,OctDom1+39)</f>
        <v>43412</v>
      </c>
      <c r="G9" s="35">
        <f>IF(DAY(OctDom1)=1,OctDom1+33,OctDom1+40)</f>
        <v>43413</v>
      </c>
      <c r="H9" s="35">
        <f>IF(DAY(OctDom1)=1,OctDom1+34,OctDom1+41)</f>
        <v>43414</v>
      </c>
      <c r="I9" s="35">
        <f>IF(DAY(OctDom1)=1,OctDom1+35,OctDom1+42)</f>
        <v>43415</v>
      </c>
      <c r="J9" s="33"/>
      <c r="K9" s="38"/>
      <c r="L9" s="52"/>
      <c r="M9" s="125"/>
      <c r="N9" s="126"/>
    </row>
    <row r="10" spans="1:14" ht="18" customHeight="1" x14ac:dyDescent="0.2">
      <c r="A10" s="28"/>
      <c r="B10" s="114"/>
      <c r="C10" s="39"/>
      <c r="D10" s="39"/>
      <c r="E10" s="39"/>
      <c r="F10" s="39"/>
      <c r="G10" s="39"/>
      <c r="H10" s="39"/>
      <c r="I10" s="39"/>
      <c r="J10" s="40"/>
      <c r="K10" s="127" t="s">
        <v>13</v>
      </c>
      <c r="L10" s="50">
        <v>2</v>
      </c>
      <c r="M10" s="130" t="s">
        <v>34</v>
      </c>
      <c r="N10" s="131"/>
    </row>
    <row r="11" spans="1:14" ht="18" customHeight="1" x14ac:dyDescent="0.2">
      <c r="A11" s="28"/>
      <c r="B11" s="132"/>
      <c r="C11" s="133"/>
      <c r="D11" s="133"/>
      <c r="E11" s="133"/>
      <c r="F11" s="133"/>
      <c r="G11" s="133"/>
      <c r="H11" s="133"/>
      <c r="I11" s="133"/>
      <c r="J11" s="134"/>
      <c r="K11" s="120"/>
      <c r="L11" s="51">
        <v>9</v>
      </c>
      <c r="M11" s="123" t="s">
        <v>38</v>
      </c>
      <c r="N11" s="124"/>
    </row>
    <row r="12" spans="1:14" ht="18" customHeight="1" x14ac:dyDescent="0.2">
      <c r="A12" s="28"/>
      <c r="B12" s="132"/>
      <c r="C12" s="133"/>
      <c r="D12" s="133"/>
      <c r="E12" s="133"/>
      <c r="F12" s="133"/>
      <c r="G12" s="133"/>
      <c r="H12" s="133"/>
      <c r="I12" s="133"/>
      <c r="J12" s="134"/>
      <c r="K12" s="120"/>
      <c r="L12" s="51">
        <v>16</v>
      </c>
      <c r="M12" s="123" t="s">
        <v>36</v>
      </c>
      <c r="N12" s="124"/>
    </row>
    <row r="13" spans="1:14" ht="18" customHeight="1" x14ac:dyDescent="0.2">
      <c r="B13" s="56"/>
      <c r="C13" s="135"/>
      <c r="D13" s="136"/>
      <c r="E13" s="135"/>
      <c r="F13" s="136"/>
      <c r="G13" s="135"/>
      <c r="H13" s="136"/>
      <c r="I13" s="135"/>
      <c r="J13" s="137"/>
      <c r="K13" s="37"/>
      <c r="L13" s="51">
        <v>23</v>
      </c>
      <c r="M13" s="123" t="s">
        <v>40</v>
      </c>
      <c r="N13" s="124"/>
    </row>
    <row r="14" spans="1:14" ht="18" customHeight="1" x14ac:dyDescent="0.2">
      <c r="B14" s="57"/>
      <c r="C14" s="128"/>
      <c r="D14" s="129"/>
      <c r="E14" s="128"/>
      <c r="F14" s="129"/>
      <c r="G14" s="128"/>
      <c r="H14" s="129"/>
      <c r="I14" s="140"/>
      <c r="J14" s="141"/>
      <c r="K14" s="37"/>
      <c r="L14" s="51">
        <v>30</v>
      </c>
      <c r="M14" s="123" t="s">
        <v>39</v>
      </c>
      <c r="N14" s="124"/>
    </row>
    <row r="15" spans="1:14" ht="12.75" x14ac:dyDescent="0.2">
      <c r="B15" s="58"/>
      <c r="C15" s="138"/>
      <c r="D15" s="139"/>
      <c r="E15" s="138"/>
      <c r="F15" s="139"/>
      <c r="G15" s="138"/>
      <c r="H15" s="139"/>
      <c r="I15" s="140"/>
      <c r="J15" s="141"/>
      <c r="K15" s="44"/>
      <c r="L15" s="53"/>
      <c r="M15" s="125"/>
      <c r="N15" s="126"/>
    </row>
    <row r="16" spans="1:14" ht="34.5" customHeight="1" x14ac:dyDescent="0.2">
      <c r="B16" s="57"/>
      <c r="C16" s="128"/>
      <c r="D16" s="129"/>
      <c r="E16" s="128"/>
      <c r="F16" s="129"/>
      <c r="G16" s="128"/>
      <c r="H16" s="129"/>
      <c r="I16" s="140"/>
      <c r="J16" s="141"/>
      <c r="K16" s="146" t="s">
        <v>14</v>
      </c>
      <c r="L16" s="50">
        <v>3</v>
      </c>
      <c r="M16" s="148" t="s">
        <v>52</v>
      </c>
      <c r="N16" s="149"/>
    </row>
    <row r="17" spans="2:14" ht="18" customHeight="1" x14ac:dyDescent="0.2">
      <c r="B17" s="58"/>
      <c r="C17" s="138"/>
      <c r="D17" s="139"/>
      <c r="E17" s="138"/>
      <c r="F17" s="139"/>
      <c r="G17" s="138"/>
      <c r="H17" s="139"/>
      <c r="I17" s="140"/>
      <c r="J17" s="141"/>
      <c r="K17" s="147"/>
      <c r="L17" s="51">
        <v>10</v>
      </c>
      <c r="M17" s="123" t="s">
        <v>43</v>
      </c>
      <c r="N17" s="124"/>
    </row>
    <row r="18" spans="2:14" ht="18" customHeight="1" x14ac:dyDescent="0.2">
      <c r="B18" s="59"/>
      <c r="C18" s="144"/>
      <c r="D18" s="145"/>
      <c r="E18" s="144"/>
      <c r="F18" s="145"/>
      <c r="G18" s="144"/>
      <c r="H18" s="145"/>
      <c r="I18" s="140"/>
      <c r="J18" s="141"/>
      <c r="K18" s="147"/>
      <c r="L18" s="51">
        <v>17</v>
      </c>
      <c r="M18" s="123" t="s">
        <v>41</v>
      </c>
      <c r="N18" s="124"/>
    </row>
    <row r="19" spans="2:14" ht="18" customHeight="1" x14ac:dyDescent="0.2">
      <c r="B19" s="58"/>
      <c r="C19" s="138"/>
      <c r="D19" s="139"/>
      <c r="E19" s="138"/>
      <c r="F19" s="139"/>
      <c r="G19" s="138"/>
      <c r="H19" s="139"/>
      <c r="I19" s="140"/>
      <c r="J19" s="141"/>
      <c r="K19" s="37"/>
      <c r="L19" s="51">
        <v>24</v>
      </c>
      <c r="M19" s="123" t="s">
        <v>42</v>
      </c>
      <c r="N19" s="124"/>
    </row>
    <row r="20" spans="2:14" ht="18" customHeight="1" x14ac:dyDescent="0.2">
      <c r="B20" s="57"/>
      <c r="C20" s="128"/>
      <c r="D20" s="129"/>
      <c r="E20" s="128"/>
      <c r="F20" s="129"/>
      <c r="G20" s="128"/>
      <c r="H20" s="129"/>
      <c r="I20" s="140"/>
      <c r="J20" s="141"/>
      <c r="K20" s="37"/>
      <c r="L20" s="51">
        <v>31</v>
      </c>
      <c r="M20" s="123" t="s">
        <v>53</v>
      </c>
      <c r="N20" s="124"/>
    </row>
    <row r="21" spans="2:14" ht="18" customHeight="1" x14ac:dyDescent="0.2">
      <c r="B21" s="58"/>
      <c r="C21" s="138"/>
      <c r="D21" s="139"/>
      <c r="E21" s="138"/>
      <c r="F21" s="139"/>
      <c r="G21" s="138"/>
      <c r="H21" s="139"/>
      <c r="I21" s="140"/>
      <c r="J21" s="141"/>
      <c r="K21" s="44"/>
      <c r="L21" s="53"/>
      <c r="M21" s="125"/>
      <c r="N21" s="126"/>
    </row>
    <row r="22" spans="2:14" ht="30" customHeight="1" x14ac:dyDescent="0.2">
      <c r="B22" s="57"/>
      <c r="C22" s="128"/>
      <c r="D22" s="129"/>
      <c r="E22" s="128"/>
      <c r="F22" s="129"/>
      <c r="G22" s="128"/>
      <c r="H22" s="129"/>
      <c r="I22" s="140"/>
      <c r="J22" s="141"/>
      <c r="K22" s="146" t="s">
        <v>15</v>
      </c>
      <c r="L22" s="50">
        <v>4</v>
      </c>
      <c r="M22" s="148" t="s">
        <v>44</v>
      </c>
      <c r="N22" s="149"/>
    </row>
    <row r="23" spans="2:14" ht="18" customHeight="1" x14ac:dyDescent="0.2">
      <c r="B23" s="58"/>
      <c r="C23" s="138"/>
      <c r="D23" s="139"/>
      <c r="E23" s="138"/>
      <c r="F23" s="139"/>
      <c r="G23" s="138"/>
      <c r="H23" s="139"/>
      <c r="I23" s="140"/>
      <c r="J23" s="141"/>
      <c r="K23" s="147"/>
      <c r="L23" s="51">
        <v>11</v>
      </c>
      <c r="M23" s="123" t="s">
        <v>45</v>
      </c>
      <c r="N23" s="124"/>
    </row>
    <row r="24" spans="2:14" ht="18" customHeight="1" x14ac:dyDescent="0.2">
      <c r="B24" s="57"/>
      <c r="C24" s="128"/>
      <c r="D24" s="129"/>
      <c r="E24" s="128"/>
      <c r="F24" s="129"/>
      <c r="G24" s="128"/>
      <c r="H24" s="129"/>
      <c r="I24" s="140"/>
      <c r="J24" s="141"/>
      <c r="K24" s="147"/>
      <c r="L24" s="51">
        <v>18</v>
      </c>
      <c r="M24" s="123" t="s">
        <v>46</v>
      </c>
      <c r="N24" s="124"/>
    </row>
    <row r="25" spans="2:14" ht="18" customHeight="1" x14ac:dyDescent="0.2">
      <c r="B25" s="58"/>
      <c r="C25" s="138"/>
      <c r="D25" s="139"/>
      <c r="E25" s="138"/>
      <c r="F25" s="139"/>
      <c r="G25" s="138"/>
      <c r="H25" s="139"/>
      <c r="I25" s="140"/>
      <c r="J25" s="141"/>
      <c r="K25" s="147"/>
      <c r="L25" s="51">
        <v>25</v>
      </c>
      <c r="M25" s="123" t="s">
        <v>50</v>
      </c>
      <c r="N25" s="124"/>
    </row>
    <row r="26" spans="2:14" ht="18" customHeight="1" x14ac:dyDescent="0.2">
      <c r="B26" s="57"/>
      <c r="C26" s="128"/>
      <c r="D26" s="129"/>
      <c r="E26" s="128"/>
      <c r="F26" s="129"/>
      <c r="G26" s="128"/>
      <c r="H26" s="129"/>
      <c r="I26" s="140"/>
      <c r="J26" s="141"/>
      <c r="K26" s="37"/>
      <c r="L26" s="51"/>
      <c r="M26" s="123"/>
      <c r="N26" s="124"/>
    </row>
    <row r="27" spans="2:14" ht="18" customHeight="1" x14ac:dyDescent="0.2">
      <c r="B27" s="58"/>
      <c r="C27" s="138"/>
      <c r="D27" s="139"/>
      <c r="E27" s="138"/>
      <c r="F27" s="139"/>
      <c r="G27" s="138"/>
      <c r="H27" s="139"/>
      <c r="I27" s="140"/>
      <c r="J27" s="141"/>
      <c r="K27" s="44"/>
      <c r="L27" s="53"/>
      <c r="M27" s="125"/>
      <c r="N27" s="126"/>
    </row>
    <row r="28" spans="2:14" ht="18" customHeight="1" x14ac:dyDescent="0.2">
      <c r="B28" s="57"/>
      <c r="C28" s="128"/>
      <c r="D28" s="129"/>
      <c r="E28" s="128"/>
      <c r="F28" s="129"/>
      <c r="G28" s="128"/>
      <c r="H28" s="129"/>
      <c r="I28" s="140"/>
      <c r="J28" s="141"/>
      <c r="K28" s="127" t="s">
        <v>16</v>
      </c>
      <c r="L28" s="50">
        <v>5</v>
      </c>
      <c r="M28" s="123" t="s">
        <v>49</v>
      </c>
      <c r="N28" s="124"/>
    </row>
    <row r="29" spans="2:14" ht="18" customHeight="1" x14ac:dyDescent="0.2">
      <c r="B29" s="58"/>
      <c r="C29" s="138"/>
      <c r="D29" s="139"/>
      <c r="E29" s="138"/>
      <c r="F29" s="139"/>
      <c r="G29" s="138"/>
      <c r="H29" s="139"/>
      <c r="I29" s="142"/>
      <c r="J29" s="143"/>
      <c r="K29" s="120"/>
      <c r="L29" s="51">
        <v>12</v>
      </c>
      <c r="M29" s="123" t="s">
        <v>35</v>
      </c>
      <c r="N29" s="124"/>
    </row>
    <row r="30" spans="2:14" ht="18" customHeight="1" x14ac:dyDescent="0.2">
      <c r="B30" s="156"/>
      <c r="C30" s="157"/>
      <c r="D30" s="157"/>
      <c r="E30" s="157"/>
      <c r="F30" s="157"/>
      <c r="G30" s="157"/>
      <c r="H30" s="157"/>
      <c r="I30" s="157"/>
      <c r="J30" s="158"/>
      <c r="K30" s="120"/>
      <c r="L30" s="51">
        <v>19</v>
      </c>
      <c r="M30" s="123" t="s">
        <v>48</v>
      </c>
      <c r="N30" s="124"/>
    </row>
    <row r="31" spans="2:14" ht="18" customHeight="1" x14ac:dyDescent="0.2">
      <c r="B31" s="159"/>
      <c r="C31" s="160"/>
      <c r="D31" s="160"/>
      <c r="E31" s="160"/>
      <c r="F31" s="160"/>
      <c r="G31" s="160"/>
      <c r="H31" s="160"/>
      <c r="I31" s="160"/>
      <c r="J31" s="161"/>
      <c r="K31" s="46"/>
      <c r="L31" s="51">
        <v>26</v>
      </c>
      <c r="M31" s="123" t="s">
        <v>47</v>
      </c>
      <c r="N31" s="124"/>
    </row>
    <row r="32" spans="2:14" ht="18" customHeight="1" x14ac:dyDescent="0.2">
      <c r="B32" s="159"/>
      <c r="C32" s="160"/>
      <c r="D32" s="160"/>
      <c r="E32" s="160"/>
      <c r="F32" s="160"/>
      <c r="G32" s="160"/>
      <c r="H32" s="160"/>
      <c r="I32" s="160"/>
      <c r="J32" s="161"/>
      <c r="K32" s="46"/>
      <c r="L32" s="51"/>
      <c r="M32" s="123"/>
      <c r="N32" s="124"/>
    </row>
    <row r="33" spans="2:14" ht="18" customHeight="1" x14ac:dyDescent="0.2">
      <c r="B33" s="60"/>
      <c r="C33" s="150"/>
      <c r="D33" s="151"/>
      <c r="E33" s="150"/>
      <c r="F33" s="151"/>
      <c r="G33" s="150"/>
      <c r="H33" s="151"/>
      <c r="I33" s="152"/>
      <c r="J33" s="153"/>
      <c r="K33" s="48"/>
      <c r="L33" s="49"/>
      <c r="M33" s="154"/>
      <c r="N33" s="155"/>
    </row>
  </sheetData>
  <mergeCells count="95">
    <mergeCell ref="M31:N31"/>
    <mergeCell ref="M32:N32"/>
    <mergeCell ref="B30:J32"/>
    <mergeCell ref="M29:N29"/>
    <mergeCell ref="M30:N30"/>
    <mergeCell ref="C33:D33"/>
    <mergeCell ref="E33:F33"/>
    <mergeCell ref="G33:H33"/>
    <mergeCell ref="I33:J33"/>
    <mergeCell ref="M33:N33"/>
    <mergeCell ref="C28:D28"/>
    <mergeCell ref="E28:F28"/>
    <mergeCell ref="G28:H28"/>
    <mergeCell ref="K28:K30"/>
    <mergeCell ref="M28:N28"/>
    <mergeCell ref="C29:D29"/>
    <mergeCell ref="E29:F29"/>
    <mergeCell ref="G29:H29"/>
    <mergeCell ref="C26:D26"/>
    <mergeCell ref="E26:F26"/>
    <mergeCell ref="G26:H26"/>
    <mergeCell ref="M26:N26"/>
    <mergeCell ref="C27:D27"/>
    <mergeCell ref="E27:F27"/>
    <mergeCell ref="G27:H27"/>
    <mergeCell ref="M27:N27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5:D25"/>
    <mergeCell ref="E25:F25"/>
    <mergeCell ref="G25:H25"/>
    <mergeCell ref="M25:N25"/>
    <mergeCell ref="M22:N22"/>
    <mergeCell ref="C23:D23"/>
    <mergeCell ref="E23:F23"/>
    <mergeCell ref="G23:H23"/>
    <mergeCell ref="M23:N23"/>
    <mergeCell ref="M19:N19"/>
    <mergeCell ref="C20:D20"/>
    <mergeCell ref="E20:F20"/>
    <mergeCell ref="G20:H20"/>
    <mergeCell ref="M20:N20"/>
    <mergeCell ref="E17:F17"/>
    <mergeCell ref="G17:H17"/>
    <mergeCell ref="C19:D19"/>
    <mergeCell ref="E19:F19"/>
    <mergeCell ref="G19:H19"/>
    <mergeCell ref="C15:D15"/>
    <mergeCell ref="E15:F15"/>
    <mergeCell ref="G15:H15"/>
    <mergeCell ref="M15:N15"/>
    <mergeCell ref="I14:J29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M11:N11"/>
    <mergeCell ref="M8:N8"/>
    <mergeCell ref="M9:N9"/>
    <mergeCell ref="K10:K12"/>
    <mergeCell ref="C14:D14"/>
    <mergeCell ref="E14:F14"/>
    <mergeCell ref="G14:H14"/>
    <mergeCell ref="M14:N14"/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</mergeCells>
  <conditionalFormatting sqref="C4:H4">
    <cfRule type="expression" dxfId="13" priority="3" stopIfTrue="1">
      <formula>DAY(C4)&gt;8</formula>
    </cfRule>
  </conditionalFormatting>
  <conditionalFormatting sqref="C8:I10">
    <cfRule type="expression" dxfId="12" priority="2" stopIfTrue="1">
      <formula>AND(DAY(C8)&gt;=1,DAY(C8)&lt;=15)</formula>
    </cfRule>
  </conditionalFormatting>
  <conditionalFormatting sqref="C4:I9">
    <cfRule type="expression" dxfId="11" priority="4">
      <formula>VLOOKUP(DAY(C4),DíasDeTareas,1,FALSE)=DAY(C4)</formula>
    </cfRule>
  </conditionalFormatting>
  <conditionalFormatting sqref="B33:J33 B30 B15:H29 B14:I14">
    <cfRule type="expression" dxfId="1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3"/>
  <sheetViews>
    <sheetView showGridLines="0" topLeftCell="A7" zoomScaleNormal="100" zoomScalePageLayoutView="84" workbookViewId="0">
      <selection activeCell="M14" sqref="M14:N14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4" width="10.710937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12" t="s">
        <v>17</v>
      </c>
      <c r="C2" s="29"/>
      <c r="D2" s="29"/>
      <c r="E2" s="29"/>
      <c r="F2" s="29"/>
      <c r="G2" s="29"/>
      <c r="H2" s="29"/>
      <c r="I2" s="29"/>
      <c r="J2" s="30"/>
      <c r="K2" s="162" t="s">
        <v>3</v>
      </c>
      <c r="L2" s="163">
        <v>2013</v>
      </c>
      <c r="M2" s="163"/>
      <c r="N2" s="31"/>
    </row>
    <row r="3" spans="1:14" ht="21" customHeight="1" x14ac:dyDescent="0.2">
      <c r="A3" s="28"/>
      <c r="B3" s="113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64"/>
      <c r="L3" s="165"/>
      <c r="M3" s="165"/>
      <c r="N3" s="34"/>
    </row>
    <row r="4" spans="1:14" ht="18" customHeight="1" x14ac:dyDescent="0.2">
      <c r="A4" s="28"/>
      <c r="B4" s="113"/>
      <c r="C4" s="35">
        <f>IF(DAY(NovDom1)=1,NovDom1-6,NovDom1+1)</f>
        <v>43402</v>
      </c>
      <c r="D4" s="35">
        <f>IF(DAY(NovDom1)=1,NovDom1-5,NovDom1+2)</f>
        <v>43403</v>
      </c>
      <c r="E4" s="35">
        <f>IF(DAY(NovDom1)=1,NovDom1-4,NovDom1+3)</f>
        <v>43404</v>
      </c>
      <c r="F4" s="35">
        <f>IF(DAY(NovDom1)=1,NovDom1-3,NovDom1+4)</f>
        <v>43405</v>
      </c>
      <c r="G4" s="35">
        <f>IF(DAY(NovDom1)=1,NovDom1-2,NovDom1+5)</f>
        <v>43406</v>
      </c>
      <c r="H4" s="35">
        <f>IF(DAY(NovDom1)=1,NovDom1-1,NovDom1+6)</f>
        <v>43407</v>
      </c>
      <c r="I4" s="35">
        <f>IF(DAY(NovDom1)=1,NovDom1,NovDom1+7)</f>
        <v>43408</v>
      </c>
      <c r="J4" s="33"/>
      <c r="K4" s="119" t="s">
        <v>12</v>
      </c>
      <c r="L4" s="50"/>
      <c r="M4" s="121"/>
      <c r="N4" s="122"/>
    </row>
    <row r="5" spans="1:14" ht="18" customHeight="1" x14ac:dyDescent="0.2">
      <c r="A5" s="28"/>
      <c r="B5" s="113"/>
      <c r="C5" s="35">
        <f>IF(DAY(NovDom1)=1,NovDom1+1,NovDom1+8)</f>
        <v>43409</v>
      </c>
      <c r="D5" s="35">
        <f>IF(DAY(NovDom1)=1,NovDom1+2,NovDom1+9)</f>
        <v>43410</v>
      </c>
      <c r="E5" s="35">
        <f>IF(DAY(NovDom1)=1,NovDom1+3,NovDom1+10)</f>
        <v>43411</v>
      </c>
      <c r="F5" s="35">
        <f>IF(DAY(NovDom1)=1,NovDom1+4,NovDom1+11)</f>
        <v>43412</v>
      </c>
      <c r="G5" s="35">
        <f>IF(DAY(NovDom1)=1,NovDom1+5,NovDom1+12)</f>
        <v>43413</v>
      </c>
      <c r="H5" s="35">
        <f>IF(DAY(NovDom1)=1,NovDom1+6,NovDom1+13)</f>
        <v>43414</v>
      </c>
      <c r="I5" s="35">
        <f>IF(DAY(NovDom1)=1,NovDom1+7,NovDom1+14)</f>
        <v>43415</v>
      </c>
      <c r="J5" s="33"/>
      <c r="K5" s="120"/>
      <c r="L5" s="51"/>
      <c r="M5" s="123"/>
      <c r="N5" s="124"/>
    </row>
    <row r="6" spans="1:14" ht="18" customHeight="1" x14ac:dyDescent="0.2">
      <c r="A6" s="28"/>
      <c r="B6" s="113"/>
      <c r="C6" s="35">
        <f>IF(DAY(NovDom1)=1,NovDom1+8,NovDom1+15)</f>
        <v>43416</v>
      </c>
      <c r="D6" s="35">
        <f>IF(DAY(NovDom1)=1,NovDom1+9,NovDom1+16)</f>
        <v>43417</v>
      </c>
      <c r="E6" s="35">
        <f>IF(DAY(NovDom1)=1,NovDom1+10,NovDom1+17)</f>
        <v>43418</v>
      </c>
      <c r="F6" s="35">
        <f>IF(DAY(NovDom1)=1,NovDom1+11,NovDom1+18)</f>
        <v>43419</v>
      </c>
      <c r="G6" s="35">
        <f>IF(DAY(NovDom1)=1,NovDom1+12,NovDom1+19)</f>
        <v>43420</v>
      </c>
      <c r="H6" s="35">
        <f>IF(DAY(NovDom1)=1,NovDom1+13,NovDom1+20)</f>
        <v>43421</v>
      </c>
      <c r="I6" s="35">
        <f>IF(DAY(NovDom1)=1,NovDom1+14,NovDom1+21)</f>
        <v>43422</v>
      </c>
      <c r="J6" s="33"/>
      <c r="K6" s="120"/>
      <c r="L6" s="51"/>
      <c r="M6" s="123"/>
      <c r="N6" s="124"/>
    </row>
    <row r="7" spans="1:14" ht="18" customHeight="1" x14ac:dyDescent="0.2">
      <c r="A7" s="28"/>
      <c r="B7" s="113"/>
      <c r="C7" s="35">
        <f>IF(DAY(NovDom1)=1,NovDom1+15,NovDom1+22)</f>
        <v>43423</v>
      </c>
      <c r="D7" s="35">
        <f>IF(DAY(NovDom1)=1,NovDom1+16,NovDom1+23)</f>
        <v>43424</v>
      </c>
      <c r="E7" s="35">
        <f>IF(DAY(NovDom1)=1,NovDom1+17,NovDom1+24)</f>
        <v>43425</v>
      </c>
      <c r="F7" s="35">
        <f>IF(DAY(NovDom1)=1,NovDom1+18,NovDom1+25)</f>
        <v>43426</v>
      </c>
      <c r="G7" s="35">
        <f>IF(DAY(NovDom1)=1,NovDom1+19,NovDom1+26)</f>
        <v>43427</v>
      </c>
      <c r="H7" s="35">
        <f>IF(DAY(NovDom1)=1,NovDom1+20,NovDom1+27)</f>
        <v>43428</v>
      </c>
      <c r="I7" s="35">
        <f>IF(DAY(NovDom1)=1,NovDom1+21,NovDom1+28)</f>
        <v>43429</v>
      </c>
      <c r="J7" s="33"/>
      <c r="K7" s="37"/>
      <c r="L7" s="51"/>
      <c r="M7" s="123"/>
      <c r="N7" s="124"/>
    </row>
    <row r="8" spans="1:14" ht="18.75" customHeight="1" x14ac:dyDescent="0.2">
      <c r="A8" s="28"/>
      <c r="B8" s="113"/>
      <c r="C8" s="35">
        <f>IF(DAY(NovDom1)=1,NovDom1+22,NovDom1+29)</f>
        <v>43430</v>
      </c>
      <c r="D8" s="35">
        <f>IF(DAY(NovDom1)=1,NovDom1+23,NovDom1+30)</f>
        <v>43431</v>
      </c>
      <c r="E8" s="35">
        <f>IF(DAY(NovDom1)=1,NovDom1+24,NovDom1+31)</f>
        <v>43432</v>
      </c>
      <c r="F8" s="35">
        <f>IF(DAY(NovDom1)=1,NovDom1+25,NovDom1+32)</f>
        <v>43433</v>
      </c>
      <c r="G8" s="35">
        <f>IF(DAY(NovDom1)=1,NovDom1+26,NovDom1+33)</f>
        <v>43434</v>
      </c>
      <c r="H8" s="35">
        <f>IF(DAY(NovDom1)=1,NovDom1+27,NovDom1+34)</f>
        <v>43435</v>
      </c>
      <c r="I8" s="35">
        <f>IF(DAY(NovDom1)=1,NovDom1+28,NovDom1+35)</f>
        <v>43436</v>
      </c>
      <c r="J8" s="33"/>
      <c r="K8" s="37"/>
      <c r="L8" s="51"/>
      <c r="M8" s="123"/>
      <c r="N8" s="124"/>
    </row>
    <row r="9" spans="1:14" ht="18" customHeight="1" x14ac:dyDescent="0.2">
      <c r="A9" s="28"/>
      <c r="B9" s="113"/>
      <c r="C9" s="35">
        <f>IF(DAY(NovDom1)=1,NovDom1+29,NovDom1+36)</f>
        <v>43437</v>
      </c>
      <c r="D9" s="35">
        <f>IF(DAY(NovDom1)=1,NovDom1+30,NovDom1+37)</f>
        <v>43438</v>
      </c>
      <c r="E9" s="35">
        <f>IF(DAY(NovDom1)=1,NovDom1+31,NovDom1+38)</f>
        <v>43439</v>
      </c>
      <c r="F9" s="35">
        <f>IF(DAY(NovDom1)=1,NovDom1+32,NovDom1+39)</f>
        <v>43440</v>
      </c>
      <c r="G9" s="35">
        <f>IF(DAY(NovDom1)=1,NovDom1+33,NovDom1+40)</f>
        <v>43441</v>
      </c>
      <c r="H9" s="35">
        <f>IF(DAY(NovDom1)=1,NovDom1+34,NovDom1+41)</f>
        <v>43442</v>
      </c>
      <c r="I9" s="35">
        <f>IF(DAY(NovDom1)=1,NovDom1+35,NovDom1+42)</f>
        <v>43443</v>
      </c>
      <c r="J9" s="33"/>
      <c r="K9" s="38"/>
      <c r="L9" s="52"/>
      <c r="M9" s="125"/>
      <c r="N9" s="126"/>
    </row>
    <row r="10" spans="1:14" ht="18" customHeight="1" x14ac:dyDescent="0.2">
      <c r="A10" s="28"/>
      <c r="B10" s="114"/>
      <c r="C10" s="39"/>
      <c r="D10" s="39"/>
      <c r="E10" s="39"/>
      <c r="F10" s="39"/>
      <c r="G10" s="39"/>
      <c r="H10" s="39"/>
      <c r="I10" s="39"/>
      <c r="J10" s="40"/>
      <c r="K10" s="127" t="s">
        <v>13</v>
      </c>
      <c r="L10" s="50"/>
      <c r="M10" s="130"/>
      <c r="N10" s="131"/>
    </row>
    <row r="11" spans="1:14" ht="18" customHeight="1" x14ac:dyDescent="0.2">
      <c r="A11" s="28"/>
      <c r="B11" s="168" t="s">
        <v>11</v>
      </c>
      <c r="C11" s="169"/>
      <c r="D11" s="169"/>
      <c r="E11" s="169"/>
      <c r="F11" s="169"/>
      <c r="G11" s="169"/>
      <c r="H11" s="169"/>
      <c r="I11" s="169"/>
      <c r="J11" s="170"/>
      <c r="K11" s="120"/>
      <c r="L11" s="51"/>
      <c r="M11" s="123"/>
      <c r="N11" s="124"/>
    </row>
    <row r="12" spans="1:14" ht="18" customHeight="1" x14ac:dyDescent="0.2">
      <c r="A12" s="28"/>
      <c r="B12" s="168"/>
      <c r="C12" s="169"/>
      <c r="D12" s="169"/>
      <c r="E12" s="169"/>
      <c r="F12" s="169"/>
      <c r="G12" s="169"/>
      <c r="H12" s="169"/>
      <c r="I12" s="169"/>
      <c r="J12" s="170"/>
      <c r="K12" s="120"/>
      <c r="L12" s="51"/>
      <c r="M12" s="123"/>
      <c r="N12" s="124"/>
    </row>
    <row r="13" spans="1:14" ht="18" customHeight="1" x14ac:dyDescent="0.2">
      <c r="B13" s="41" t="s">
        <v>12</v>
      </c>
      <c r="C13" s="171" t="s">
        <v>13</v>
      </c>
      <c r="D13" s="172"/>
      <c r="E13" s="171" t="s">
        <v>14</v>
      </c>
      <c r="F13" s="172"/>
      <c r="G13" s="171" t="s">
        <v>15</v>
      </c>
      <c r="H13" s="172"/>
      <c r="I13" s="171" t="s">
        <v>16</v>
      </c>
      <c r="J13" s="173"/>
      <c r="K13" s="37"/>
      <c r="L13" s="51"/>
      <c r="M13" s="123"/>
      <c r="N13" s="124"/>
    </row>
    <row r="14" spans="1:14" ht="18" customHeight="1" x14ac:dyDescent="0.2">
      <c r="B14" s="42"/>
      <c r="C14" s="166"/>
      <c r="D14" s="167"/>
      <c r="E14" s="166"/>
      <c r="F14" s="167"/>
      <c r="G14" s="166"/>
      <c r="H14" s="167"/>
      <c r="I14" s="176" t="s">
        <v>29</v>
      </c>
      <c r="J14" s="177"/>
      <c r="K14" s="37"/>
      <c r="L14" s="51"/>
      <c r="M14" s="123"/>
      <c r="N14" s="124"/>
    </row>
    <row r="15" spans="1:14" ht="18" customHeight="1" x14ac:dyDescent="0.2">
      <c r="B15" s="43"/>
      <c r="C15" s="174"/>
      <c r="D15" s="175"/>
      <c r="E15" s="174"/>
      <c r="F15" s="175"/>
      <c r="G15" s="174"/>
      <c r="H15" s="175"/>
      <c r="I15" s="176"/>
      <c r="J15" s="177"/>
      <c r="K15" s="44"/>
      <c r="L15" s="53"/>
      <c r="M15" s="125"/>
      <c r="N15" s="126"/>
    </row>
    <row r="16" spans="1:14" ht="18" customHeight="1" x14ac:dyDescent="0.2">
      <c r="B16" s="42"/>
      <c r="C16" s="166"/>
      <c r="D16" s="167"/>
      <c r="E16" s="166"/>
      <c r="F16" s="167"/>
      <c r="G16" s="166"/>
      <c r="H16" s="167"/>
      <c r="I16" s="176"/>
      <c r="J16" s="177"/>
      <c r="K16" s="146" t="s">
        <v>14</v>
      </c>
      <c r="L16" s="50"/>
      <c r="M16" s="130"/>
      <c r="N16" s="131"/>
    </row>
    <row r="17" spans="2:14" ht="18" customHeight="1" x14ac:dyDescent="0.2">
      <c r="B17" s="43"/>
      <c r="C17" s="174"/>
      <c r="D17" s="175"/>
      <c r="E17" s="174"/>
      <c r="F17" s="175"/>
      <c r="G17" s="174"/>
      <c r="H17" s="175"/>
      <c r="I17" s="176"/>
      <c r="J17" s="177"/>
      <c r="K17" s="147"/>
      <c r="L17" s="51"/>
      <c r="M17" s="123"/>
      <c r="N17" s="124"/>
    </row>
    <row r="18" spans="2:14" ht="18" customHeight="1" x14ac:dyDescent="0.2">
      <c r="B18" s="45"/>
      <c r="C18" s="180"/>
      <c r="D18" s="181"/>
      <c r="E18" s="180"/>
      <c r="F18" s="181"/>
      <c r="G18" s="180"/>
      <c r="H18" s="181"/>
      <c r="I18" s="176"/>
      <c r="J18" s="177"/>
      <c r="K18" s="147"/>
      <c r="L18" s="51"/>
      <c r="M18" s="123"/>
      <c r="N18" s="124"/>
    </row>
    <row r="19" spans="2:14" ht="18" customHeight="1" x14ac:dyDescent="0.2">
      <c r="B19" s="43"/>
      <c r="C19" s="174"/>
      <c r="D19" s="175"/>
      <c r="E19" s="174"/>
      <c r="F19" s="175"/>
      <c r="G19" s="174"/>
      <c r="H19" s="175"/>
      <c r="I19" s="176"/>
      <c r="J19" s="177"/>
      <c r="K19" s="37"/>
      <c r="L19" s="51"/>
      <c r="M19" s="123"/>
      <c r="N19" s="124"/>
    </row>
    <row r="20" spans="2:14" ht="18" customHeight="1" x14ac:dyDescent="0.2">
      <c r="B20" s="42"/>
      <c r="C20" s="166"/>
      <c r="D20" s="167"/>
      <c r="E20" s="166"/>
      <c r="F20" s="167"/>
      <c r="G20" s="166"/>
      <c r="H20" s="167"/>
      <c r="I20" s="176"/>
      <c r="J20" s="177"/>
      <c r="K20" s="37"/>
      <c r="L20" s="51"/>
      <c r="M20" s="123"/>
      <c r="N20" s="124"/>
    </row>
    <row r="21" spans="2:14" ht="18" customHeight="1" x14ac:dyDescent="0.2">
      <c r="B21" s="43"/>
      <c r="C21" s="174"/>
      <c r="D21" s="175"/>
      <c r="E21" s="174"/>
      <c r="F21" s="175"/>
      <c r="G21" s="174"/>
      <c r="H21" s="175"/>
      <c r="I21" s="176"/>
      <c r="J21" s="177"/>
      <c r="K21" s="44"/>
      <c r="L21" s="53"/>
      <c r="M21" s="125"/>
      <c r="N21" s="126"/>
    </row>
    <row r="22" spans="2:14" ht="18" customHeight="1" x14ac:dyDescent="0.2">
      <c r="B22" s="42"/>
      <c r="C22" s="166"/>
      <c r="D22" s="167"/>
      <c r="E22" s="166"/>
      <c r="F22" s="167"/>
      <c r="G22" s="166"/>
      <c r="H22" s="167"/>
      <c r="I22" s="176"/>
      <c r="J22" s="177"/>
      <c r="K22" s="146" t="s">
        <v>15</v>
      </c>
      <c r="L22" s="50"/>
      <c r="M22" s="130"/>
      <c r="N22" s="131"/>
    </row>
    <row r="23" spans="2:14" ht="18" customHeight="1" x14ac:dyDescent="0.2">
      <c r="B23" s="43"/>
      <c r="C23" s="174"/>
      <c r="D23" s="175"/>
      <c r="E23" s="174"/>
      <c r="F23" s="175"/>
      <c r="G23" s="174"/>
      <c r="H23" s="175"/>
      <c r="I23" s="176"/>
      <c r="J23" s="177"/>
      <c r="K23" s="147"/>
      <c r="L23" s="51"/>
      <c r="M23" s="123"/>
      <c r="N23" s="124"/>
    </row>
    <row r="24" spans="2:14" ht="18" customHeight="1" x14ac:dyDescent="0.2">
      <c r="B24" s="42"/>
      <c r="C24" s="166"/>
      <c r="D24" s="167"/>
      <c r="E24" s="166"/>
      <c r="F24" s="167"/>
      <c r="G24" s="166"/>
      <c r="H24" s="167"/>
      <c r="I24" s="176"/>
      <c r="J24" s="177"/>
      <c r="K24" s="147"/>
      <c r="L24" s="51"/>
      <c r="M24" s="123"/>
      <c r="N24" s="124"/>
    </row>
    <row r="25" spans="2:14" ht="18" customHeight="1" x14ac:dyDescent="0.2">
      <c r="B25" s="43"/>
      <c r="C25" s="174"/>
      <c r="D25" s="175"/>
      <c r="E25" s="174"/>
      <c r="F25" s="175"/>
      <c r="G25" s="174"/>
      <c r="H25" s="175"/>
      <c r="I25" s="176"/>
      <c r="J25" s="177"/>
      <c r="K25" s="147"/>
      <c r="L25" s="51"/>
      <c r="M25" s="123"/>
      <c r="N25" s="124"/>
    </row>
    <row r="26" spans="2:14" ht="18" customHeight="1" x14ac:dyDescent="0.2">
      <c r="B26" s="42"/>
      <c r="C26" s="166"/>
      <c r="D26" s="167"/>
      <c r="E26" s="166"/>
      <c r="F26" s="167"/>
      <c r="G26" s="166"/>
      <c r="H26" s="167"/>
      <c r="I26" s="176"/>
      <c r="J26" s="177"/>
      <c r="K26" s="37"/>
      <c r="L26" s="51"/>
      <c r="M26" s="123"/>
      <c r="N26" s="124"/>
    </row>
    <row r="27" spans="2:14" ht="18" customHeight="1" x14ac:dyDescent="0.2">
      <c r="B27" s="43"/>
      <c r="C27" s="174"/>
      <c r="D27" s="175"/>
      <c r="E27" s="174"/>
      <c r="F27" s="175"/>
      <c r="G27" s="174"/>
      <c r="H27" s="175"/>
      <c r="I27" s="178"/>
      <c r="J27" s="179"/>
      <c r="K27" s="44"/>
      <c r="L27" s="53"/>
      <c r="M27" s="125"/>
      <c r="N27" s="126"/>
    </row>
    <row r="28" spans="2:14" ht="18" customHeight="1" x14ac:dyDescent="0.2">
      <c r="B28" s="182" t="s">
        <v>27</v>
      </c>
      <c r="C28" s="183"/>
      <c r="D28" s="183"/>
      <c r="E28" s="183"/>
      <c r="F28" s="183"/>
      <c r="G28" s="183"/>
      <c r="H28" s="183"/>
      <c r="I28" s="183"/>
      <c r="J28" s="184"/>
      <c r="K28" s="127" t="s">
        <v>16</v>
      </c>
      <c r="L28" s="50"/>
      <c r="M28" s="130"/>
      <c r="N28" s="131"/>
    </row>
    <row r="29" spans="2:14" ht="18" customHeight="1" x14ac:dyDescent="0.2">
      <c r="B29" s="185"/>
      <c r="C29" s="186"/>
      <c r="D29" s="186"/>
      <c r="E29" s="186"/>
      <c r="F29" s="186"/>
      <c r="G29" s="186"/>
      <c r="H29" s="186"/>
      <c r="I29" s="186"/>
      <c r="J29" s="187"/>
      <c r="K29" s="120"/>
      <c r="L29" s="51"/>
      <c r="M29" s="123"/>
      <c r="N29" s="124"/>
    </row>
    <row r="30" spans="2:14" ht="18" customHeight="1" x14ac:dyDescent="0.2">
      <c r="B30" s="185"/>
      <c r="C30" s="186"/>
      <c r="D30" s="186"/>
      <c r="E30" s="186"/>
      <c r="F30" s="186"/>
      <c r="G30" s="186"/>
      <c r="H30" s="186"/>
      <c r="I30" s="186"/>
      <c r="J30" s="187"/>
      <c r="K30" s="120"/>
      <c r="L30" s="51"/>
      <c r="M30" s="123"/>
      <c r="N30" s="124"/>
    </row>
    <row r="31" spans="2:14" ht="18" customHeight="1" x14ac:dyDescent="0.2">
      <c r="B31" s="43"/>
      <c r="C31" s="174"/>
      <c r="D31" s="175"/>
      <c r="E31" s="174"/>
      <c r="F31" s="175"/>
      <c r="G31" s="174"/>
      <c r="H31" s="175"/>
      <c r="I31" s="174"/>
      <c r="J31" s="192"/>
      <c r="K31" s="46"/>
      <c r="L31" s="51"/>
      <c r="M31" s="123"/>
      <c r="N31" s="124"/>
    </row>
    <row r="32" spans="2:14" ht="18" customHeight="1" x14ac:dyDescent="0.2">
      <c r="B32" s="42"/>
      <c r="C32" s="166"/>
      <c r="D32" s="167"/>
      <c r="E32" s="166"/>
      <c r="F32" s="167"/>
      <c r="G32" s="166"/>
      <c r="H32" s="167"/>
      <c r="I32" s="193"/>
      <c r="J32" s="194"/>
      <c r="K32" s="46"/>
      <c r="L32" s="36"/>
      <c r="M32" s="195"/>
      <c r="N32" s="196"/>
    </row>
    <row r="33" spans="2:14" ht="18" customHeight="1" x14ac:dyDescent="0.2">
      <c r="B33" s="47"/>
      <c r="C33" s="188"/>
      <c r="D33" s="189"/>
      <c r="E33" s="188"/>
      <c r="F33" s="189"/>
      <c r="G33" s="188"/>
      <c r="H33" s="189"/>
      <c r="I33" s="190"/>
      <c r="J33" s="191"/>
      <c r="K33" s="48"/>
      <c r="L33" s="49"/>
      <c r="M33" s="154"/>
      <c r="N33" s="155"/>
    </row>
  </sheetData>
  <mergeCells count="98">
    <mergeCell ref="C32:D32"/>
    <mergeCell ref="E32:F32"/>
    <mergeCell ref="G32:H32"/>
    <mergeCell ref="I32:J32"/>
    <mergeCell ref="M32:N32"/>
    <mergeCell ref="C31:D31"/>
    <mergeCell ref="E31:F31"/>
    <mergeCell ref="G31:H31"/>
    <mergeCell ref="I31:J31"/>
    <mergeCell ref="M31:N31"/>
    <mergeCell ref="C33:D33"/>
    <mergeCell ref="E33:F33"/>
    <mergeCell ref="G33:H33"/>
    <mergeCell ref="I33:J33"/>
    <mergeCell ref="M33:N33"/>
    <mergeCell ref="C26:D26"/>
    <mergeCell ref="E26:F26"/>
    <mergeCell ref="G26:H26"/>
    <mergeCell ref="M26:N26"/>
    <mergeCell ref="C27:D27"/>
    <mergeCell ref="E27:F27"/>
    <mergeCell ref="G27:H27"/>
    <mergeCell ref="M27:N27"/>
    <mergeCell ref="M29:N29"/>
    <mergeCell ref="M30:N30"/>
    <mergeCell ref="K28:K30"/>
    <mergeCell ref="M28:N28"/>
    <mergeCell ref="B28:J30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5:D25"/>
    <mergeCell ref="E25:F25"/>
    <mergeCell ref="G25:H25"/>
    <mergeCell ref="M25:N25"/>
    <mergeCell ref="M22:N22"/>
    <mergeCell ref="C23:D23"/>
    <mergeCell ref="E23:F23"/>
    <mergeCell ref="G23:H23"/>
    <mergeCell ref="M23:N23"/>
    <mergeCell ref="M19:N19"/>
    <mergeCell ref="C20:D20"/>
    <mergeCell ref="E20:F20"/>
    <mergeCell ref="G20:H20"/>
    <mergeCell ref="M20:N20"/>
    <mergeCell ref="E17:F17"/>
    <mergeCell ref="G17:H17"/>
    <mergeCell ref="C19:D19"/>
    <mergeCell ref="E19:F19"/>
    <mergeCell ref="G19:H19"/>
    <mergeCell ref="C15:D15"/>
    <mergeCell ref="E15:F15"/>
    <mergeCell ref="G15:H15"/>
    <mergeCell ref="M15:N15"/>
    <mergeCell ref="I14:J27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C14:D14"/>
    <mergeCell ref="E14:F14"/>
    <mergeCell ref="G14:H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5:H27 B31:J33 B14:I14">
    <cfRule type="expression" dxfId="6" priority="2">
      <formula>B14&lt;&gt;""</formula>
    </cfRule>
  </conditionalFormatting>
  <conditionalFormatting sqref="B28">
    <cfRule type="expression" dxfId="5" priority="1">
      <formula>B28&lt;&gt;""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3"/>
  <sheetViews>
    <sheetView showGridLines="0" zoomScaleNormal="100" zoomScalePageLayoutView="84" workbookViewId="0">
      <selection activeCell="M7" sqref="M7:N7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4" width="10.710937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12" t="s">
        <v>10</v>
      </c>
      <c r="C2" s="29"/>
      <c r="D2" s="29"/>
      <c r="E2" s="29"/>
      <c r="F2" s="29"/>
      <c r="G2" s="29"/>
      <c r="H2" s="29"/>
      <c r="I2" s="29"/>
      <c r="J2" s="30"/>
      <c r="K2" s="162" t="s">
        <v>3</v>
      </c>
      <c r="L2" s="163">
        <v>2013</v>
      </c>
      <c r="M2" s="163"/>
      <c r="N2" s="31"/>
    </row>
    <row r="3" spans="1:14" ht="21" customHeight="1" x14ac:dyDescent="0.2">
      <c r="A3" s="28"/>
      <c r="B3" s="113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64"/>
      <c r="L3" s="165"/>
      <c r="M3" s="165"/>
      <c r="N3" s="34"/>
    </row>
    <row r="4" spans="1:14" ht="18" customHeight="1" x14ac:dyDescent="0.2">
      <c r="A4" s="28"/>
      <c r="B4" s="113"/>
      <c r="C4" s="35">
        <f>IF(DAY(DicDom1)=1,DicDom1-6,DicDom1+1)</f>
        <v>43430</v>
      </c>
      <c r="D4" s="35">
        <f>IF(DAY(DicDom1)=1,DicDom1-5,DicDom1+2)</f>
        <v>43431</v>
      </c>
      <c r="E4" s="35">
        <f>IF(DAY(DicDom1)=1,DicDom1-4,DicDom1+3)</f>
        <v>43432</v>
      </c>
      <c r="F4" s="35">
        <f>IF(DAY(DicDom1)=1,DicDom1-3,DicDom1+4)</f>
        <v>43433</v>
      </c>
      <c r="G4" s="35">
        <f>IF(DAY(DicDom1)=1,DicDom1-2,DicDom1+5)</f>
        <v>43434</v>
      </c>
      <c r="H4" s="35">
        <f>IF(DAY(DicDom1)=1,DicDom1-1,DicDom1+6)</f>
        <v>43435</v>
      </c>
      <c r="I4" s="35">
        <f>IF(DAY(DicDom1)=1,DicDom1,DicDom1+7)</f>
        <v>43436</v>
      </c>
      <c r="J4" s="33"/>
      <c r="K4" s="119" t="s">
        <v>12</v>
      </c>
      <c r="L4" s="50"/>
      <c r="M4" s="121"/>
      <c r="N4" s="122"/>
    </row>
    <row r="5" spans="1:14" ht="18" customHeight="1" x14ac:dyDescent="0.2">
      <c r="A5" s="28"/>
      <c r="B5" s="113"/>
      <c r="C5" s="35">
        <f>IF(DAY(DicDom1)=1,DicDom1+1,DicDom1+8)</f>
        <v>43437</v>
      </c>
      <c r="D5" s="35">
        <f>IF(DAY(DicDom1)=1,DicDom1+2,DicDom1+9)</f>
        <v>43438</v>
      </c>
      <c r="E5" s="35">
        <f>IF(DAY(DicDom1)=1,DicDom1+3,DicDom1+10)</f>
        <v>43439</v>
      </c>
      <c r="F5" s="35">
        <f>IF(DAY(DicDom1)=1,DicDom1+4,DicDom1+11)</f>
        <v>43440</v>
      </c>
      <c r="G5" s="35">
        <f>IF(DAY(DicDom1)=1,DicDom1+5,DicDom1+12)</f>
        <v>43441</v>
      </c>
      <c r="H5" s="35">
        <f>IF(DAY(DicDom1)=1,DicDom1+6,DicDom1+13)</f>
        <v>43442</v>
      </c>
      <c r="I5" s="35">
        <f>IF(DAY(DicDom1)=1,DicDom1+7,DicDom1+14)</f>
        <v>43443</v>
      </c>
      <c r="J5" s="33"/>
      <c r="K5" s="120"/>
      <c r="L5" s="51"/>
      <c r="M5" s="123"/>
      <c r="N5" s="124"/>
    </row>
    <row r="6" spans="1:14" ht="18" customHeight="1" x14ac:dyDescent="0.2">
      <c r="A6" s="28"/>
      <c r="B6" s="113"/>
      <c r="C6" s="35">
        <f>IF(DAY(DicDom1)=1,DicDom1+8,DicDom1+15)</f>
        <v>43444</v>
      </c>
      <c r="D6" s="35">
        <f>IF(DAY(DicDom1)=1,DicDom1+9,DicDom1+16)</f>
        <v>43445</v>
      </c>
      <c r="E6" s="35">
        <f>IF(DAY(DicDom1)=1,DicDom1+10,DicDom1+17)</f>
        <v>43446</v>
      </c>
      <c r="F6" s="35">
        <f>IF(DAY(DicDom1)=1,DicDom1+11,DicDom1+18)</f>
        <v>43447</v>
      </c>
      <c r="G6" s="35">
        <f>IF(DAY(DicDom1)=1,DicDom1+12,DicDom1+19)</f>
        <v>43448</v>
      </c>
      <c r="H6" s="35">
        <f>IF(DAY(DicDom1)=1,DicDom1+13,DicDom1+20)</f>
        <v>43449</v>
      </c>
      <c r="I6" s="35">
        <f>IF(DAY(DicDom1)=1,DicDom1+14,DicDom1+21)</f>
        <v>43450</v>
      </c>
      <c r="J6" s="33"/>
      <c r="K6" s="120"/>
      <c r="L6" s="51"/>
      <c r="M6" s="123"/>
      <c r="N6" s="124"/>
    </row>
    <row r="7" spans="1:14" ht="18" customHeight="1" x14ac:dyDescent="0.2">
      <c r="A7" s="28"/>
      <c r="B7" s="113"/>
      <c r="C7" s="35">
        <f>IF(DAY(DicDom1)=1,DicDom1+15,DicDom1+22)</f>
        <v>43451</v>
      </c>
      <c r="D7" s="35">
        <f>IF(DAY(DicDom1)=1,DicDom1+16,DicDom1+23)</f>
        <v>43452</v>
      </c>
      <c r="E7" s="35">
        <f>IF(DAY(DicDom1)=1,DicDom1+17,DicDom1+24)</f>
        <v>43453</v>
      </c>
      <c r="F7" s="35">
        <f>IF(DAY(DicDom1)=1,DicDom1+18,DicDom1+25)</f>
        <v>43454</v>
      </c>
      <c r="G7" s="35">
        <f>IF(DAY(DicDom1)=1,DicDom1+19,DicDom1+26)</f>
        <v>43455</v>
      </c>
      <c r="H7" s="35">
        <f>IF(DAY(DicDom1)=1,DicDom1+20,DicDom1+27)</f>
        <v>43456</v>
      </c>
      <c r="I7" s="35">
        <f>IF(DAY(DicDom1)=1,DicDom1+21,DicDom1+28)</f>
        <v>43457</v>
      </c>
      <c r="J7" s="33"/>
      <c r="K7" s="37"/>
      <c r="L7" s="51"/>
      <c r="M7" s="123"/>
      <c r="N7" s="124"/>
    </row>
    <row r="8" spans="1:14" ht="18.75" customHeight="1" x14ac:dyDescent="0.2">
      <c r="A8" s="28"/>
      <c r="B8" s="113"/>
      <c r="C8" s="35">
        <f>IF(DAY(DicDom1)=1,DicDom1+22,DicDom1+29)</f>
        <v>43458</v>
      </c>
      <c r="D8" s="35">
        <f>IF(DAY(DicDom1)=1,DicDom1+23,DicDom1+30)</f>
        <v>43459</v>
      </c>
      <c r="E8" s="35">
        <f>IF(DAY(DicDom1)=1,DicDom1+24,DicDom1+31)</f>
        <v>43460</v>
      </c>
      <c r="F8" s="35">
        <f>IF(DAY(DicDom1)=1,DicDom1+25,DicDom1+32)</f>
        <v>43461</v>
      </c>
      <c r="G8" s="35">
        <f>IF(DAY(DicDom1)=1,DicDom1+26,DicDom1+33)</f>
        <v>43462</v>
      </c>
      <c r="H8" s="35">
        <f>IF(DAY(DicDom1)=1,DicDom1+27,DicDom1+34)</f>
        <v>43463</v>
      </c>
      <c r="I8" s="35">
        <f>IF(DAY(DicDom1)=1,DicDom1+28,DicDom1+35)</f>
        <v>43464</v>
      </c>
      <c r="J8" s="33"/>
      <c r="K8" s="37"/>
      <c r="L8" s="51"/>
      <c r="M8" s="123"/>
      <c r="N8" s="124"/>
    </row>
    <row r="9" spans="1:14" ht="18" customHeight="1" x14ac:dyDescent="0.2">
      <c r="A9" s="28"/>
      <c r="B9" s="113"/>
      <c r="C9" s="35">
        <f>IF(DAY(DicDom1)=1,DicDom1+29,DicDom1+36)</f>
        <v>43465</v>
      </c>
      <c r="D9" s="35">
        <f>IF(DAY(DicDom1)=1,DicDom1+30,DicDom1+37)</f>
        <v>43466</v>
      </c>
      <c r="E9" s="35">
        <f>IF(DAY(DicDom1)=1,DicDom1+31,DicDom1+38)</f>
        <v>43467</v>
      </c>
      <c r="F9" s="35">
        <f>IF(DAY(DicDom1)=1,DicDom1+32,DicDom1+39)</f>
        <v>43468</v>
      </c>
      <c r="G9" s="35">
        <f>IF(DAY(DicDom1)=1,DicDom1+33,DicDom1+40)</f>
        <v>43469</v>
      </c>
      <c r="H9" s="35">
        <f>IF(DAY(DicDom1)=1,DicDom1+34,DicDom1+41)</f>
        <v>43470</v>
      </c>
      <c r="I9" s="35">
        <f>IF(DAY(DicDom1)=1,DicDom1+35,DicDom1+42)</f>
        <v>43471</v>
      </c>
      <c r="J9" s="33"/>
      <c r="K9" s="38"/>
      <c r="L9" s="52"/>
      <c r="M9" s="125"/>
      <c r="N9" s="126"/>
    </row>
    <row r="10" spans="1:14" ht="18" customHeight="1" x14ac:dyDescent="0.2">
      <c r="A10" s="28"/>
      <c r="B10" s="114"/>
      <c r="C10" s="39"/>
      <c r="D10" s="39"/>
      <c r="E10" s="39"/>
      <c r="F10" s="39"/>
      <c r="G10" s="39"/>
      <c r="H10" s="39"/>
      <c r="I10" s="39"/>
      <c r="J10" s="40"/>
      <c r="K10" s="127" t="s">
        <v>13</v>
      </c>
      <c r="L10" s="50"/>
      <c r="M10" s="130"/>
      <c r="N10" s="131"/>
    </row>
    <row r="11" spans="1:14" ht="18" customHeight="1" x14ac:dyDescent="0.2">
      <c r="A11" s="28"/>
      <c r="B11" s="168" t="s">
        <v>11</v>
      </c>
      <c r="C11" s="169"/>
      <c r="D11" s="169"/>
      <c r="E11" s="169"/>
      <c r="F11" s="169"/>
      <c r="G11" s="169"/>
      <c r="H11" s="169"/>
      <c r="I11" s="169"/>
      <c r="J11" s="170"/>
      <c r="K11" s="120"/>
      <c r="L11" s="51"/>
      <c r="M11" s="123"/>
      <c r="N11" s="124"/>
    </row>
    <row r="12" spans="1:14" ht="18" customHeight="1" x14ac:dyDescent="0.2">
      <c r="A12" s="28"/>
      <c r="B12" s="168"/>
      <c r="C12" s="169"/>
      <c r="D12" s="169"/>
      <c r="E12" s="169"/>
      <c r="F12" s="169"/>
      <c r="G12" s="169"/>
      <c r="H12" s="169"/>
      <c r="I12" s="169"/>
      <c r="J12" s="170"/>
      <c r="K12" s="120"/>
      <c r="L12" s="51"/>
      <c r="M12" s="123"/>
      <c r="N12" s="124"/>
    </row>
    <row r="13" spans="1:14" ht="18" customHeight="1" x14ac:dyDescent="0.2">
      <c r="B13" s="41" t="s">
        <v>12</v>
      </c>
      <c r="C13" s="171" t="s">
        <v>13</v>
      </c>
      <c r="D13" s="172"/>
      <c r="E13" s="171" t="s">
        <v>14</v>
      </c>
      <c r="F13" s="172"/>
      <c r="G13" s="171" t="s">
        <v>15</v>
      </c>
      <c r="H13" s="172"/>
      <c r="I13" s="171" t="s">
        <v>16</v>
      </c>
      <c r="J13" s="173"/>
      <c r="K13" s="37"/>
      <c r="L13" s="51"/>
      <c r="M13" s="123"/>
      <c r="N13" s="124"/>
    </row>
    <row r="14" spans="1:14" ht="18" customHeight="1" x14ac:dyDescent="0.2">
      <c r="B14" s="42"/>
      <c r="C14" s="166"/>
      <c r="D14" s="167"/>
      <c r="E14" s="166"/>
      <c r="F14" s="167"/>
      <c r="G14" s="166"/>
      <c r="H14" s="167"/>
      <c r="I14" s="176" t="s">
        <v>28</v>
      </c>
      <c r="J14" s="177"/>
      <c r="K14" s="37"/>
      <c r="L14" s="51"/>
      <c r="M14" s="123"/>
      <c r="N14" s="124"/>
    </row>
    <row r="15" spans="1:14" ht="18" customHeight="1" x14ac:dyDescent="0.2">
      <c r="B15" s="43"/>
      <c r="C15" s="174"/>
      <c r="D15" s="175"/>
      <c r="E15" s="174"/>
      <c r="F15" s="175"/>
      <c r="G15" s="174"/>
      <c r="H15" s="175"/>
      <c r="I15" s="176"/>
      <c r="J15" s="177"/>
      <c r="K15" s="44"/>
      <c r="L15" s="53"/>
      <c r="M15" s="125"/>
      <c r="N15" s="126"/>
    </row>
    <row r="16" spans="1:14" ht="18" customHeight="1" x14ac:dyDescent="0.2">
      <c r="B16" s="42"/>
      <c r="C16" s="166"/>
      <c r="D16" s="167"/>
      <c r="E16" s="166"/>
      <c r="F16" s="167"/>
      <c r="G16" s="166"/>
      <c r="H16" s="167"/>
      <c r="I16" s="176"/>
      <c r="J16" s="177"/>
      <c r="K16" s="146" t="s">
        <v>14</v>
      </c>
      <c r="L16" s="50"/>
      <c r="M16" s="130"/>
      <c r="N16" s="131"/>
    </row>
    <row r="17" spans="2:14" ht="18" customHeight="1" x14ac:dyDescent="0.2">
      <c r="B17" s="43"/>
      <c r="C17" s="174"/>
      <c r="D17" s="175"/>
      <c r="E17" s="174"/>
      <c r="F17" s="175"/>
      <c r="G17" s="174"/>
      <c r="H17" s="175"/>
      <c r="I17" s="176"/>
      <c r="J17" s="177"/>
      <c r="K17" s="147"/>
      <c r="L17" s="51"/>
      <c r="M17" s="123"/>
      <c r="N17" s="124"/>
    </row>
    <row r="18" spans="2:14" ht="18" customHeight="1" x14ac:dyDescent="0.2">
      <c r="B18" s="45"/>
      <c r="C18" s="180"/>
      <c r="D18" s="181"/>
      <c r="E18" s="180"/>
      <c r="F18" s="181"/>
      <c r="G18" s="180"/>
      <c r="H18" s="181"/>
      <c r="I18" s="176"/>
      <c r="J18" s="177"/>
      <c r="K18" s="147"/>
      <c r="L18" s="51"/>
      <c r="M18" s="123"/>
      <c r="N18" s="124"/>
    </row>
    <row r="19" spans="2:14" ht="18" customHeight="1" x14ac:dyDescent="0.2">
      <c r="B19" s="43"/>
      <c r="C19" s="174"/>
      <c r="D19" s="175"/>
      <c r="E19" s="174"/>
      <c r="F19" s="175"/>
      <c r="G19" s="174"/>
      <c r="H19" s="175"/>
      <c r="I19" s="176"/>
      <c r="J19" s="177"/>
      <c r="K19" s="37"/>
      <c r="L19" s="51"/>
      <c r="M19" s="123"/>
      <c r="N19" s="124"/>
    </row>
    <row r="20" spans="2:14" ht="18" customHeight="1" x14ac:dyDescent="0.2">
      <c r="B20" s="42"/>
      <c r="C20" s="166"/>
      <c r="D20" s="167"/>
      <c r="E20" s="166"/>
      <c r="F20" s="167"/>
      <c r="G20" s="166"/>
      <c r="H20" s="167"/>
      <c r="I20" s="176"/>
      <c r="J20" s="177"/>
      <c r="K20" s="37"/>
      <c r="L20" s="51"/>
      <c r="M20" s="123"/>
      <c r="N20" s="124"/>
    </row>
    <row r="21" spans="2:14" ht="18" customHeight="1" x14ac:dyDescent="0.2">
      <c r="B21" s="43"/>
      <c r="C21" s="174"/>
      <c r="D21" s="175"/>
      <c r="E21" s="174"/>
      <c r="F21" s="175"/>
      <c r="G21" s="174"/>
      <c r="H21" s="175"/>
      <c r="I21" s="176"/>
      <c r="J21" s="177"/>
      <c r="K21" s="44"/>
      <c r="L21" s="53"/>
      <c r="M21" s="125"/>
      <c r="N21" s="126"/>
    </row>
    <row r="22" spans="2:14" ht="18" customHeight="1" x14ac:dyDescent="0.2">
      <c r="B22" s="42"/>
      <c r="C22" s="166"/>
      <c r="D22" s="167"/>
      <c r="E22" s="166"/>
      <c r="F22" s="167"/>
      <c r="G22" s="166"/>
      <c r="H22" s="167"/>
      <c r="I22" s="176"/>
      <c r="J22" s="177"/>
      <c r="K22" s="146" t="s">
        <v>15</v>
      </c>
      <c r="L22" s="50"/>
      <c r="M22" s="130"/>
      <c r="N22" s="131"/>
    </row>
    <row r="23" spans="2:14" ht="18" customHeight="1" x14ac:dyDescent="0.2">
      <c r="B23" s="43"/>
      <c r="C23" s="174"/>
      <c r="D23" s="175"/>
      <c r="E23" s="174"/>
      <c r="F23" s="175"/>
      <c r="G23" s="174"/>
      <c r="H23" s="175"/>
      <c r="I23" s="176"/>
      <c r="J23" s="177"/>
      <c r="K23" s="147"/>
      <c r="L23" s="51"/>
      <c r="M23" s="123"/>
      <c r="N23" s="124"/>
    </row>
    <row r="24" spans="2:14" ht="18" customHeight="1" x14ac:dyDescent="0.2">
      <c r="B24" s="42"/>
      <c r="C24" s="166"/>
      <c r="D24" s="167"/>
      <c r="E24" s="166"/>
      <c r="F24" s="167"/>
      <c r="G24" s="166"/>
      <c r="H24" s="167"/>
      <c r="I24" s="176"/>
      <c r="J24" s="177"/>
      <c r="K24" s="147"/>
      <c r="L24" s="51"/>
      <c r="M24" s="123"/>
      <c r="N24" s="124"/>
    </row>
    <row r="25" spans="2:14" ht="18" customHeight="1" x14ac:dyDescent="0.2">
      <c r="B25" s="43"/>
      <c r="C25" s="174"/>
      <c r="D25" s="175"/>
      <c r="E25" s="174"/>
      <c r="F25" s="175"/>
      <c r="G25" s="174"/>
      <c r="H25" s="175"/>
      <c r="I25" s="176"/>
      <c r="J25" s="177"/>
      <c r="K25" s="147"/>
      <c r="L25" s="51"/>
      <c r="M25" s="123"/>
      <c r="N25" s="124"/>
    </row>
    <row r="26" spans="2:14" ht="18" customHeight="1" x14ac:dyDescent="0.2">
      <c r="B26" s="42"/>
      <c r="C26" s="166"/>
      <c r="D26" s="167"/>
      <c r="E26" s="166"/>
      <c r="F26" s="167"/>
      <c r="G26" s="166"/>
      <c r="H26" s="167"/>
      <c r="I26" s="176"/>
      <c r="J26" s="177"/>
      <c r="K26" s="37"/>
      <c r="L26" s="51"/>
      <c r="M26" s="123"/>
      <c r="N26" s="124"/>
    </row>
    <row r="27" spans="2:14" ht="18" customHeight="1" x14ac:dyDescent="0.2">
      <c r="B27" s="43"/>
      <c r="C27" s="174"/>
      <c r="D27" s="175"/>
      <c r="E27" s="174"/>
      <c r="F27" s="175"/>
      <c r="G27" s="174"/>
      <c r="H27" s="175"/>
      <c r="I27" s="176"/>
      <c r="J27" s="177"/>
      <c r="K27" s="44"/>
      <c r="L27" s="53"/>
      <c r="M27" s="125"/>
      <c r="N27" s="126"/>
    </row>
    <row r="28" spans="2:14" ht="18" customHeight="1" x14ac:dyDescent="0.2">
      <c r="B28" s="42"/>
      <c r="C28" s="166"/>
      <c r="D28" s="167"/>
      <c r="E28" s="166"/>
      <c r="F28" s="167"/>
      <c r="G28" s="166"/>
      <c r="H28" s="167"/>
      <c r="I28" s="176"/>
      <c r="J28" s="177"/>
      <c r="K28" s="127" t="s">
        <v>16</v>
      </c>
      <c r="L28" s="50"/>
      <c r="M28" s="130"/>
      <c r="N28" s="131"/>
    </row>
    <row r="29" spans="2:14" ht="18" customHeight="1" x14ac:dyDescent="0.2">
      <c r="B29" s="43"/>
      <c r="C29" s="174"/>
      <c r="D29" s="175"/>
      <c r="E29" s="174"/>
      <c r="F29" s="175"/>
      <c r="G29" s="174"/>
      <c r="H29" s="175"/>
      <c r="I29" s="176"/>
      <c r="J29" s="177"/>
      <c r="K29" s="120"/>
      <c r="L29" s="51"/>
      <c r="M29" s="123"/>
      <c r="N29" s="124"/>
    </row>
    <row r="30" spans="2:14" ht="18" customHeight="1" x14ac:dyDescent="0.2">
      <c r="B30" s="42"/>
      <c r="C30" s="166"/>
      <c r="D30" s="167"/>
      <c r="E30" s="166"/>
      <c r="F30" s="167"/>
      <c r="G30" s="166"/>
      <c r="H30" s="167"/>
      <c r="I30" s="178"/>
      <c r="J30" s="179"/>
      <c r="K30" s="120"/>
      <c r="L30" s="51"/>
      <c r="M30" s="123"/>
      <c r="N30" s="124"/>
    </row>
    <row r="31" spans="2:14" ht="18" customHeight="1" x14ac:dyDescent="0.2">
      <c r="B31" s="182" t="s">
        <v>27</v>
      </c>
      <c r="C31" s="183"/>
      <c r="D31" s="183"/>
      <c r="E31" s="183"/>
      <c r="F31" s="183"/>
      <c r="G31" s="183"/>
      <c r="H31" s="183"/>
      <c r="I31" s="183"/>
      <c r="J31" s="184"/>
      <c r="K31" s="46"/>
      <c r="L31" s="51"/>
      <c r="M31" s="123"/>
      <c r="N31" s="124"/>
    </row>
    <row r="32" spans="2:14" ht="18" customHeight="1" x14ac:dyDescent="0.2">
      <c r="B32" s="185"/>
      <c r="C32" s="186"/>
      <c r="D32" s="186"/>
      <c r="E32" s="186"/>
      <c r="F32" s="186"/>
      <c r="G32" s="186"/>
      <c r="H32" s="186"/>
      <c r="I32" s="186"/>
      <c r="J32" s="187"/>
      <c r="K32" s="46"/>
      <c r="L32" s="51"/>
      <c r="M32" s="123"/>
      <c r="N32" s="124"/>
    </row>
    <row r="33" spans="2:14" ht="18" customHeight="1" x14ac:dyDescent="0.2">
      <c r="B33" s="185"/>
      <c r="C33" s="186"/>
      <c r="D33" s="186"/>
      <c r="E33" s="186"/>
      <c r="F33" s="186"/>
      <c r="G33" s="186"/>
      <c r="H33" s="186"/>
      <c r="I33" s="186"/>
      <c r="J33" s="187"/>
      <c r="K33" s="48"/>
      <c r="L33" s="54"/>
      <c r="M33" s="197"/>
      <c r="N33" s="198"/>
    </row>
  </sheetData>
  <mergeCells count="95">
    <mergeCell ref="M33:N33"/>
    <mergeCell ref="M31:N31"/>
    <mergeCell ref="M32:N32"/>
    <mergeCell ref="B31:J33"/>
    <mergeCell ref="M29:N29"/>
    <mergeCell ref="C30:D30"/>
    <mergeCell ref="E30:F30"/>
    <mergeCell ref="G30:H30"/>
    <mergeCell ref="M30:N30"/>
    <mergeCell ref="C28:D28"/>
    <mergeCell ref="E28:F28"/>
    <mergeCell ref="G28:H28"/>
    <mergeCell ref="K28:K30"/>
    <mergeCell ref="M28:N28"/>
    <mergeCell ref="C29:D29"/>
    <mergeCell ref="E29:F29"/>
    <mergeCell ref="G29:H29"/>
    <mergeCell ref="C26:D26"/>
    <mergeCell ref="E26:F26"/>
    <mergeCell ref="G26:H26"/>
    <mergeCell ref="M26:N26"/>
    <mergeCell ref="C27:D27"/>
    <mergeCell ref="E27:F27"/>
    <mergeCell ref="G27:H27"/>
    <mergeCell ref="M27:N27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5:D25"/>
    <mergeCell ref="E25:F25"/>
    <mergeCell ref="G25:H25"/>
    <mergeCell ref="M25:N25"/>
    <mergeCell ref="M22:N22"/>
    <mergeCell ref="C23:D23"/>
    <mergeCell ref="E23:F23"/>
    <mergeCell ref="G23:H23"/>
    <mergeCell ref="M23:N23"/>
    <mergeCell ref="M19:N19"/>
    <mergeCell ref="C20:D20"/>
    <mergeCell ref="E20:F20"/>
    <mergeCell ref="G20:H20"/>
    <mergeCell ref="M20:N20"/>
    <mergeCell ref="E17:F17"/>
    <mergeCell ref="G17:H17"/>
    <mergeCell ref="C19:D19"/>
    <mergeCell ref="E19:F19"/>
    <mergeCell ref="G19:H19"/>
    <mergeCell ref="C15:D15"/>
    <mergeCell ref="E15:F15"/>
    <mergeCell ref="G15:H15"/>
    <mergeCell ref="M15:N15"/>
    <mergeCell ref="I14:J30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C14:D14"/>
    <mergeCell ref="E14:F14"/>
    <mergeCell ref="G14:H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5:H30 B14:I14">
    <cfRule type="expression" dxfId="1" priority="2">
      <formula>B14&lt;&gt;""</formula>
    </cfRule>
  </conditionalFormatting>
  <conditionalFormatting sqref="B31">
    <cfRule type="expression" dxfId="0" priority="1">
      <formula>B31&lt;&gt;""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8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00" t="s">
        <v>26</v>
      </c>
      <c r="C2" s="21"/>
      <c r="D2" s="21"/>
      <c r="E2" s="21"/>
      <c r="F2" s="21"/>
      <c r="G2" s="21"/>
      <c r="H2" s="21"/>
      <c r="I2" s="21"/>
      <c r="J2" s="22"/>
      <c r="K2" s="74" t="s">
        <v>3</v>
      </c>
      <c r="L2" s="75">
        <v>2013</v>
      </c>
      <c r="M2" s="75"/>
      <c r="N2" s="25"/>
    </row>
    <row r="3" spans="1:14" ht="21" customHeight="1" x14ac:dyDescent="0.2">
      <c r="A3" s="4"/>
      <c r="B3" s="101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6"/>
      <c r="L3" s="77"/>
      <c r="M3" s="77"/>
      <c r="N3" s="26"/>
    </row>
    <row r="4" spans="1:14" ht="18" customHeight="1" x14ac:dyDescent="0.2">
      <c r="A4" s="4"/>
      <c r="B4" s="101"/>
      <c r="C4" s="10">
        <f>IF(DAY(FebDom1)=1,FebDom1-6,FebDom1+1)</f>
        <v>43129</v>
      </c>
      <c r="D4" s="10">
        <f>IF(DAY(FebDom1)=1,FebDom1-5,FebDom1+2)</f>
        <v>43130</v>
      </c>
      <c r="E4" s="10">
        <f>IF(DAY(FebDom1)=1,FebDom1-4,FebDom1+3)</f>
        <v>43131</v>
      </c>
      <c r="F4" s="10">
        <f>IF(DAY(FebDom1)=1,FebDom1-3,FebDom1+4)</f>
        <v>43132</v>
      </c>
      <c r="G4" s="10">
        <f>IF(DAY(FebDom1)=1,FebDom1-2,FebDom1+5)</f>
        <v>43133</v>
      </c>
      <c r="H4" s="10">
        <f>IF(DAY(FebDom1)=1,FebDom1-1,FebDom1+6)</f>
        <v>43134</v>
      </c>
      <c r="I4" s="10">
        <f>IF(DAY(FebDom1)=1,FebDom1,FebDom1+7)</f>
        <v>43135</v>
      </c>
      <c r="J4" s="5"/>
      <c r="K4" s="78" t="s">
        <v>12</v>
      </c>
      <c r="L4" s="16"/>
      <c r="M4" s="79"/>
      <c r="N4" s="80"/>
    </row>
    <row r="5" spans="1:14" ht="18" customHeight="1" x14ac:dyDescent="0.2">
      <c r="A5" s="4"/>
      <c r="B5" s="101"/>
      <c r="C5" s="10">
        <f>IF(DAY(FebDom1)=1,FebDom1+1,FebDom1+8)</f>
        <v>43136</v>
      </c>
      <c r="D5" s="10">
        <f>IF(DAY(FebDom1)=1,FebDom1+2,FebDom1+9)</f>
        <v>43137</v>
      </c>
      <c r="E5" s="10">
        <f>IF(DAY(FebDom1)=1,FebDom1+3,FebDom1+10)</f>
        <v>43138</v>
      </c>
      <c r="F5" s="10">
        <f>IF(DAY(FebDom1)=1,FebDom1+4,FebDom1+11)</f>
        <v>43139</v>
      </c>
      <c r="G5" s="10">
        <f>IF(DAY(FebDom1)=1,FebDom1+5,FebDom1+12)</f>
        <v>43140</v>
      </c>
      <c r="H5" s="10">
        <f>IF(DAY(FebDom1)=1,FebDom1+6,FebDom1+13)</f>
        <v>43141</v>
      </c>
      <c r="I5" s="10">
        <f>IF(DAY(FebDom1)=1,FebDom1+7,FebDom1+14)</f>
        <v>43142</v>
      </c>
      <c r="J5" s="5"/>
      <c r="K5" s="70"/>
      <c r="L5" s="17"/>
      <c r="M5" s="63"/>
      <c r="N5" s="64"/>
    </row>
    <row r="6" spans="1:14" ht="18" customHeight="1" x14ac:dyDescent="0.2">
      <c r="A6" s="4"/>
      <c r="B6" s="101"/>
      <c r="C6" s="10">
        <f>IF(DAY(FebDom1)=1,FebDom1+8,FebDom1+15)</f>
        <v>43143</v>
      </c>
      <c r="D6" s="10">
        <f>IF(DAY(FebDom1)=1,FebDom1+9,FebDom1+16)</f>
        <v>43144</v>
      </c>
      <c r="E6" s="10">
        <f>IF(DAY(FebDom1)=1,FebDom1+10,FebDom1+17)</f>
        <v>43145</v>
      </c>
      <c r="F6" s="10">
        <f>IF(DAY(FebDom1)=1,FebDom1+11,FebDom1+18)</f>
        <v>43146</v>
      </c>
      <c r="G6" s="10">
        <f>IF(DAY(FebDom1)=1,FebDom1+12,FebDom1+19)</f>
        <v>43147</v>
      </c>
      <c r="H6" s="10">
        <f>IF(DAY(FebDom1)=1,FebDom1+13,FebDom1+20)</f>
        <v>43148</v>
      </c>
      <c r="I6" s="10">
        <f>IF(DAY(FebDom1)=1,FebDom1+14,FebDom1+21)</f>
        <v>43149</v>
      </c>
      <c r="J6" s="5"/>
      <c r="K6" s="70"/>
      <c r="L6" s="17"/>
      <c r="M6" s="63"/>
      <c r="N6" s="64"/>
    </row>
    <row r="7" spans="1:14" ht="18" customHeight="1" x14ac:dyDescent="0.2">
      <c r="A7" s="4"/>
      <c r="B7" s="101"/>
      <c r="C7" s="10">
        <f>IF(DAY(FebDom1)=1,FebDom1+15,FebDom1+22)</f>
        <v>43150</v>
      </c>
      <c r="D7" s="10">
        <f>IF(DAY(FebDom1)=1,FebDom1+16,FebDom1+23)</f>
        <v>43151</v>
      </c>
      <c r="E7" s="10">
        <f>IF(DAY(FebDom1)=1,FebDom1+17,FebDom1+24)</f>
        <v>43152</v>
      </c>
      <c r="F7" s="10">
        <f>IF(DAY(FebDom1)=1,FebDom1+18,FebDom1+25)</f>
        <v>43153</v>
      </c>
      <c r="G7" s="10">
        <f>IF(DAY(FebDom1)=1,FebDom1+19,FebDom1+26)</f>
        <v>43154</v>
      </c>
      <c r="H7" s="10">
        <f>IF(DAY(FebDom1)=1,FebDom1+20,FebDom1+27)</f>
        <v>43155</v>
      </c>
      <c r="I7" s="10">
        <f>IF(DAY(FebDom1)=1,FebDom1+21,FebDom1+28)</f>
        <v>43156</v>
      </c>
      <c r="J7" s="5"/>
      <c r="K7" s="11"/>
      <c r="L7" s="17"/>
      <c r="M7" s="63"/>
      <c r="N7" s="64"/>
    </row>
    <row r="8" spans="1:14" ht="18.75" customHeight="1" x14ac:dyDescent="0.2">
      <c r="A8" s="4"/>
      <c r="B8" s="101"/>
      <c r="C8" s="10">
        <f>IF(DAY(FebDom1)=1,FebDom1+22,FebDom1+29)</f>
        <v>43157</v>
      </c>
      <c r="D8" s="10">
        <f>IF(DAY(FebDom1)=1,FebDom1+23,FebDom1+30)</f>
        <v>43158</v>
      </c>
      <c r="E8" s="10">
        <f>IF(DAY(FebDom1)=1,FebDom1+24,FebDom1+31)</f>
        <v>43159</v>
      </c>
      <c r="F8" s="10">
        <f>IF(DAY(FebDom1)=1,FebDom1+25,FebDom1+32)</f>
        <v>43160</v>
      </c>
      <c r="G8" s="10">
        <f>IF(DAY(FebDom1)=1,FebDom1+26,FebDom1+33)</f>
        <v>43161</v>
      </c>
      <c r="H8" s="10">
        <f>IF(DAY(FebDom1)=1,FebDom1+27,FebDom1+34)</f>
        <v>43162</v>
      </c>
      <c r="I8" s="10">
        <f>IF(DAY(FebDom1)=1,FebDom1+28,FebDom1+35)</f>
        <v>43163</v>
      </c>
      <c r="J8" s="5"/>
      <c r="K8" s="11"/>
      <c r="L8" s="17"/>
      <c r="M8" s="63"/>
      <c r="N8" s="64"/>
    </row>
    <row r="9" spans="1:14" ht="18" customHeight="1" x14ac:dyDescent="0.2">
      <c r="A9" s="4"/>
      <c r="B9" s="101"/>
      <c r="C9" s="10">
        <f>IF(DAY(FebDom1)=1,FebDom1+29,FebDom1+36)</f>
        <v>43164</v>
      </c>
      <c r="D9" s="10">
        <f>IF(DAY(FebDom1)=1,FebDom1+30,FebDom1+37)</f>
        <v>43165</v>
      </c>
      <c r="E9" s="10">
        <f>IF(DAY(FebDom1)=1,FebDom1+31,FebDom1+38)</f>
        <v>43166</v>
      </c>
      <c r="F9" s="10">
        <f>IF(DAY(FebDom1)=1,FebDom1+32,FebDom1+39)</f>
        <v>43167</v>
      </c>
      <c r="G9" s="10">
        <f>IF(DAY(FebDom1)=1,FebDom1+33,FebDom1+40)</f>
        <v>43168</v>
      </c>
      <c r="H9" s="10">
        <f>IF(DAY(FebDom1)=1,FebDom1+34,FebDom1+41)</f>
        <v>43169</v>
      </c>
      <c r="I9" s="10">
        <f>IF(DAY(FebDom1)=1,FebDom1+35,FebDom1+42)</f>
        <v>43170</v>
      </c>
      <c r="J9" s="5"/>
      <c r="K9" s="12"/>
      <c r="L9" s="18"/>
      <c r="M9" s="65"/>
      <c r="N9" s="66"/>
    </row>
    <row r="10" spans="1:14" ht="18" customHeight="1" x14ac:dyDescent="0.2">
      <c r="A10" s="4"/>
      <c r="B10" s="102"/>
      <c r="C10" s="23"/>
      <c r="D10" s="23"/>
      <c r="E10" s="23"/>
      <c r="F10" s="23"/>
      <c r="G10" s="23"/>
      <c r="H10" s="23"/>
      <c r="I10" s="23"/>
      <c r="J10" s="24"/>
      <c r="K10" s="69" t="s">
        <v>13</v>
      </c>
      <c r="L10" s="16"/>
      <c r="M10" s="67"/>
      <c r="N10" s="68"/>
    </row>
    <row r="11" spans="1:14" ht="18" customHeight="1" x14ac:dyDescent="0.2">
      <c r="A11" s="4"/>
      <c r="B11" s="103" t="s">
        <v>11</v>
      </c>
      <c r="C11" s="104"/>
      <c r="D11" s="104"/>
      <c r="E11" s="104"/>
      <c r="F11" s="104"/>
      <c r="G11" s="104"/>
      <c r="H11" s="104"/>
      <c r="I11" s="104"/>
      <c r="J11" s="105"/>
      <c r="K11" s="70"/>
      <c r="L11" s="17"/>
      <c r="M11" s="63"/>
      <c r="N11" s="64"/>
    </row>
    <row r="12" spans="1:14" ht="18" customHeight="1" x14ac:dyDescent="0.2">
      <c r="A12" s="4"/>
      <c r="B12" s="103"/>
      <c r="C12" s="104"/>
      <c r="D12" s="104"/>
      <c r="E12" s="104"/>
      <c r="F12" s="104"/>
      <c r="G12" s="104"/>
      <c r="H12" s="104"/>
      <c r="I12" s="104"/>
      <c r="J12" s="105"/>
      <c r="K12" s="70"/>
      <c r="L12" s="17"/>
      <c r="M12" s="63"/>
      <c r="N12" s="64"/>
    </row>
    <row r="13" spans="1:14" ht="18" customHeight="1" x14ac:dyDescent="0.2">
      <c r="B13" s="3" t="s">
        <v>12</v>
      </c>
      <c r="C13" s="71" t="s">
        <v>13</v>
      </c>
      <c r="D13" s="73"/>
      <c r="E13" s="71" t="s">
        <v>14</v>
      </c>
      <c r="F13" s="73"/>
      <c r="G13" s="71" t="s">
        <v>15</v>
      </c>
      <c r="H13" s="73"/>
      <c r="I13" s="71" t="s">
        <v>16</v>
      </c>
      <c r="J13" s="72"/>
      <c r="K13" s="11"/>
      <c r="L13" s="17"/>
      <c r="M13" s="63"/>
      <c r="N13" s="64"/>
    </row>
    <row r="14" spans="1:14" ht="18" customHeight="1" x14ac:dyDescent="0.2">
      <c r="B14" s="8"/>
      <c r="C14" s="85"/>
      <c r="D14" s="86"/>
      <c r="E14" s="85"/>
      <c r="F14" s="86"/>
      <c r="G14" s="85"/>
      <c r="H14" s="86"/>
      <c r="I14" s="85"/>
      <c r="J14" s="94"/>
      <c r="K14" s="11"/>
      <c r="L14" s="17"/>
      <c r="M14" s="63"/>
      <c r="N14" s="64"/>
    </row>
    <row r="15" spans="1:14" ht="18" customHeight="1" x14ac:dyDescent="0.2">
      <c r="B15" s="6"/>
      <c r="C15" s="83"/>
      <c r="D15" s="84"/>
      <c r="E15" s="83"/>
      <c r="F15" s="84"/>
      <c r="G15" s="83"/>
      <c r="H15" s="84"/>
      <c r="I15" s="91"/>
      <c r="J15" s="92"/>
      <c r="K15" s="13"/>
      <c r="L15" s="19"/>
      <c r="M15" s="65"/>
      <c r="N15" s="66"/>
    </row>
    <row r="16" spans="1:14" ht="18" customHeight="1" x14ac:dyDescent="0.2">
      <c r="B16" s="8"/>
      <c r="C16" s="85"/>
      <c r="D16" s="86"/>
      <c r="E16" s="85"/>
      <c r="F16" s="86"/>
      <c r="G16" s="85"/>
      <c r="H16" s="86"/>
      <c r="I16" s="95"/>
      <c r="J16" s="96"/>
      <c r="K16" s="61" t="s">
        <v>14</v>
      </c>
      <c r="L16" s="16"/>
      <c r="M16" s="67"/>
      <c r="N16" s="68"/>
    </row>
    <row r="17" spans="2:14" ht="18" customHeight="1" x14ac:dyDescent="0.2">
      <c r="B17" s="6"/>
      <c r="C17" s="83"/>
      <c r="D17" s="84"/>
      <c r="E17" s="83"/>
      <c r="F17" s="84"/>
      <c r="G17" s="83"/>
      <c r="H17" s="84"/>
      <c r="I17" s="91"/>
      <c r="J17" s="92"/>
      <c r="K17" s="62"/>
      <c r="L17" s="17"/>
      <c r="M17" s="63"/>
      <c r="N17" s="64"/>
    </row>
    <row r="18" spans="2:14" ht="18" customHeight="1" x14ac:dyDescent="0.2">
      <c r="B18" s="9"/>
      <c r="C18" s="87"/>
      <c r="D18" s="88"/>
      <c r="E18" s="87"/>
      <c r="F18" s="88"/>
      <c r="G18" s="87"/>
      <c r="H18" s="88"/>
      <c r="I18" s="87"/>
      <c r="J18" s="93"/>
      <c r="K18" s="62"/>
      <c r="L18" s="17"/>
      <c r="M18" s="63"/>
      <c r="N18" s="64"/>
    </row>
    <row r="19" spans="2:14" ht="18" customHeight="1" x14ac:dyDescent="0.2">
      <c r="B19" s="6"/>
      <c r="C19" s="83"/>
      <c r="D19" s="84"/>
      <c r="E19" s="83"/>
      <c r="F19" s="84"/>
      <c r="G19" s="83"/>
      <c r="H19" s="84"/>
      <c r="I19" s="91"/>
      <c r="J19" s="92"/>
      <c r="K19" s="11"/>
      <c r="L19" s="17"/>
      <c r="M19" s="63"/>
      <c r="N19" s="64"/>
    </row>
    <row r="20" spans="2:14" ht="18" customHeight="1" x14ac:dyDescent="0.2">
      <c r="B20" s="8"/>
      <c r="C20" s="85"/>
      <c r="D20" s="86"/>
      <c r="E20" s="85"/>
      <c r="F20" s="86"/>
      <c r="G20" s="85"/>
      <c r="H20" s="86"/>
      <c r="I20" s="85"/>
      <c r="J20" s="94"/>
      <c r="K20" s="11"/>
      <c r="L20" s="17"/>
      <c r="M20" s="63"/>
      <c r="N20" s="64"/>
    </row>
    <row r="21" spans="2:14" ht="18" customHeight="1" x14ac:dyDescent="0.2">
      <c r="B21" s="6"/>
      <c r="C21" s="83"/>
      <c r="D21" s="84"/>
      <c r="E21" s="83"/>
      <c r="F21" s="84"/>
      <c r="G21" s="83"/>
      <c r="H21" s="84"/>
      <c r="I21" s="97"/>
      <c r="J21" s="98"/>
      <c r="K21" s="13"/>
      <c r="L21" s="19"/>
      <c r="M21" s="65"/>
      <c r="N21" s="66"/>
    </row>
    <row r="22" spans="2:14" ht="18" customHeight="1" x14ac:dyDescent="0.2">
      <c r="B22" s="8"/>
      <c r="C22" s="85"/>
      <c r="D22" s="86"/>
      <c r="E22" s="85"/>
      <c r="F22" s="86"/>
      <c r="G22" s="85"/>
      <c r="H22" s="86"/>
      <c r="I22" s="85"/>
      <c r="J22" s="94"/>
      <c r="K22" s="61" t="s">
        <v>15</v>
      </c>
      <c r="L22" s="16"/>
      <c r="M22" s="67"/>
      <c r="N22" s="68"/>
    </row>
    <row r="23" spans="2:14" ht="18" customHeight="1" x14ac:dyDescent="0.2">
      <c r="B23" s="6"/>
      <c r="C23" s="83"/>
      <c r="D23" s="84"/>
      <c r="E23" s="83"/>
      <c r="F23" s="84"/>
      <c r="G23" s="83"/>
      <c r="H23" s="84"/>
      <c r="I23" s="91"/>
      <c r="J23" s="92"/>
      <c r="K23" s="62"/>
      <c r="L23" s="17"/>
      <c r="M23" s="63"/>
      <c r="N23" s="64"/>
    </row>
    <row r="24" spans="2:14" ht="18" customHeight="1" x14ac:dyDescent="0.2">
      <c r="B24" s="8"/>
      <c r="C24" s="85"/>
      <c r="D24" s="86"/>
      <c r="E24" s="85"/>
      <c r="F24" s="86"/>
      <c r="G24" s="85"/>
      <c r="H24" s="86"/>
      <c r="I24" s="85"/>
      <c r="J24" s="94"/>
      <c r="K24" s="62"/>
      <c r="L24" s="17"/>
      <c r="M24" s="63"/>
      <c r="N24" s="64"/>
    </row>
    <row r="25" spans="2:14" ht="18" customHeight="1" x14ac:dyDescent="0.2">
      <c r="B25" s="6"/>
      <c r="C25" s="83"/>
      <c r="D25" s="84"/>
      <c r="E25" s="83"/>
      <c r="F25" s="84"/>
      <c r="G25" s="83"/>
      <c r="H25" s="84"/>
      <c r="I25" s="91"/>
      <c r="J25" s="92"/>
      <c r="K25" s="62"/>
      <c r="L25" s="17"/>
      <c r="M25" s="63"/>
      <c r="N25" s="64"/>
    </row>
    <row r="26" spans="2:14" ht="18" customHeight="1" x14ac:dyDescent="0.2">
      <c r="B26" s="8"/>
      <c r="C26" s="85"/>
      <c r="D26" s="86"/>
      <c r="E26" s="85"/>
      <c r="F26" s="86"/>
      <c r="G26" s="85"/>
      <c r="H26" s="86"/>
      <c r="I26" s="85"/>
      <c r="J26" s="94"/>
      <c r="K26" s="11"/>
      <c r="L26" s="17"/>
      <c r="M26" s="63"/>
      <c r="N26" s="64"/>
    </row>
    <row r="27" spans="2:14" ht="18" customHeight="1" x14ac:dyDescent="0.2">
      <c r="B27" s="6"/>
      <c r="C27" s="83"/>
      <c r="D27" s="84"/>
      <c r="E27" s="83"/>
      <c r="F27" s="84"/>
      <c r="G27" s="83"/>
      <c r="H27" s="84"/>
      <c r="I27" s="91"/>
      <c r="J27" s="92"/>
      <c r="K27" s="13"/>
      <c r="L27" s="19"/>
      <c r="M27" s="65"/>
      <c r="N27" s="66"/>
    </row>
    <row r="28" spans="2:14" ht="18" customHeight="1" x14ac:dyDescent="0.2">
      <c r="B28" s="8"/>
      <c r="C28" s="85"/>
      <c r="D28" s="86"/>
      <c r="E28" s="85"/>
      <c r="F28" s="86"/>
      <c r="G28" s="85"/>
      <c r="H28" s="86"/>
      <c r="I28" s="85"/>
      <c r="J28" s="94"/>
      <c r="K28" s="69" t="s">
        <v>16</v>
      </c>
      <c r="L28" s="16"/>
      <c r="M28" s="67"/>
      <c r="N28" s="68"/>
    </row>
    <row r="29" spans="2:14" ht="18" customHeight="1" x14ac:dyDescent="0.2">
      <c r="B29" s="6"/>
      <c r="C29" s="83"/>
      <c r="D29" s="84"/>
      <c r="E29" s="83"/>
      <c r="F29" s="84"/>
      <c r="G29" s="83"/>
      <c r="H29" s="84"/>
      <c r="I29" s="83"/>
      <c r="J29" s="99"/>
      <c r="K29" s="70"/>
      <c r="L29" s="17"/>
      <c r="M29" s="63"/>
      <c r="N29" s="64"/>
    </row>
    <row r="30" spans="2:14" ht="18" customHeight="1" x14ac:dyDescent="0.2">
      <c r="B30" s="8"/>
      <c r="C30" s="85"/>
      <c r="D30" s="86"/>
      <c r="E30" s="85"/>
      <c r="F30" s="86"/>
      <c r="G30" s="85"/>
      <c r="H30" s="86"/>
      <c r="I30" s="108"/>
      <c r="J30" s="109"/>
      <c r="K30" s="70"/>
      <c r="L30" s="17"/>
      <c r="M30" s="63"/>
      <c r="N30" s="64"/>
    </row>
    <row r="31" spans="2:14" ht="18" customHeight="1" x14ac:dyDescent="0.2">
      <c r="B31" s="6"/>
      <c r="C31" s="83"/>
      <c r="D31" s="84"/>
      <c r="E31" s="83"/>
      <c r="F31" s="84"/>
      <c r="G31" s="83"/>
      <c r="H31" s="84"/>
      <c r="I31" s="83"/>
      <c r="J31" s="99"/>
      <c r="K31" s="14"/>
      <c r="L31" s="17"/>
      <c r="M31" s="63"/>
      <c r="N31" s="64"/>
    </row>
    <row r="32" spans="2:14" ht="18" customHeight="1" x14ac:dyDescent="0.2">
      <c r="B32" s="8"/>
      <c r="C32" s="85"/>
      <c r="D32" s="86"/>
      <c r="E32" s="85"/>
      <c r="F32" s="86"/>
      <c r="G32" s="85"/>
      <c r="H32" s="86"/>
      <c r="I32" s="95"/>
      <c r="J32" s="96"/>
      <c r="K32" s="14"/>
      <c r="L32" s="17"/>
      <c r="M32" s="63"/>
      <c r="N32" s="64"/>
    </row>
    <row r="33" spans="2:14" ht="18" customHeight="1" x14ac:dyDescent="0.2">
      <c r="B33" s="7"/>
      <c r="C33" s="89"/>
      <c r="D33" s="90"/>
      <c r="E33" s="89"/>
      <c r="F33" s="90"/>
      <c r="G33" s="89"/>
      <c r="H33" s="90"/>
      <c r="I33" s="110"/>
      <c r="J33" s="111"/>
      <c r="K33" s="15"/>
      <c r="L33" s="20"/>
      <c r="M33" s="106"/>
      <c r="N33" s="107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5" priority="3" stopIfTrue="1">
      <formula>DAY(C4)&gt;8</formula>
    </cfRule>
  </conditionalFormatting>
  <conditionalFormatting sqref="C8:I10">
    <cfRule type="expression" dxfId="44" priority="2" stopIfTrue="1">
      <formula>AND(DAY(C8)&gt;=1,DAY(C8)&lt;=15)</formula>
    </cfRule>
  </conditionalFormatting>
  <conditionalFormatting sqref="C4:I9">
    <cfRule type="expression" dxfId="43" priority="4">
      <formula>VLOOKUP(DAY(C4),DíasDeTareas,1,FALSE)=DAY(C4)</formula>
    </cfRule>
  </conditionalFormatting>
  <conditionalFormatting sqref="B14:J33">
    <cfRule type="expression" dxfId="4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B26" sqref="B26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00" t="s">
        <v>25</v>
      </c>
      <c r="C2" s="21"/>
      <c r="D2" s="21"/>
      <c r="E2" s="21"/>
      <c r="F2" s="21"/>
      <c r="G2" s="21"/>
      <c r="H2" s="21"/>
      <c r="I2" s="21"/>
      <c r="J2" s="22"/>
      <c r="K2" s="74" t="s">
        <v>3</v>
      </c>
      <c r="L2" s="75">
        <v>2013</v>
      </c>
      <c r="M2" s="75"/>
      <c r="N2" s="25"/>
    </row>
    <row r="3" spans="1:14" ht="21" customHeight="1" x14ac:dyDescent="0.2">
      <c r="A3" s="4"/>
      <c r="B3" s="101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6"/>
      <c r="L3" s="77"/>
      <c r="M3" s="77"/>
      <c r="N3" s="26"/>
    </row>
    <row r="4" spans="1:14" ht="18" customHeight="1" x14ac:dyDescent="0.2">
      <c r="A4" s="4"/>
      <c r="B4" s="101"/>
      <c r="C4" s="10">
        <f>IF(DAY(MarDom1)=1,MarDom1-6,MarDom1+1)</f>
        <v>43157</v>
      </c>
      <c r="D4" s="10">
        <f>IF(DAY(MarDom1)=1,MarDom1-5,MarDom1+2)</f>
        <v>43158</v>
      </c>
      <c r="E4" s="10">
        <f>IF(DAY(MarDom1)=1,MarDom1-4,MarDom1+3)</f>
        <v>43159</v>
      </c>
      <c r="F4" s="10">
        <f>IF(DAY(MarDom1)=1,MarDom1-3,MarDom1+4)</f>
        <v>43160</v>
      </c>
      <c r="G4" s="10">
        <f>IF(DAY(MarDom1)=1,MarDom1-2,MarDom1+5)</f>
        <v>43161</v>
      </c>
      <c r="H4" s="10">
        <f>IF(DAY(MarDom1)=1,MarDom1-1,MarDom1+6)</f>
        <v>43162</v>
      </c>
      <c r="I4" s="10">
        <f>IF(DAY(MarDom1)=1,MarDom1,MarDom1+7)</f>
        <v>43163</v>
      </c>
      <c r="J4" s="5"/>
      <c r="K4" s="78" t="s">
        <v>12</v>
      </c>
      <c r="L4" s="16"/>
      <c r="M4" s="79"/>
      <c r="N4" s="80"/>
    </row>
    <row r="5" spans="1:14" ht="18" customHeight="1" x14ac:dyDescent="0.2">
      <c r="A5" s="4"/>
      <c r="B5" s="101"/>
      <c r="C5" s="10">
        <f>IF(DAY(MarDom1)=1,MarDom1+1,MarDom1+8)</f>
        <v>43164</v>
      </c>
      <c r="D5" s="10">
        <f>IF(DAY(MarDom1)=1,MarDom1+2,MarDom1+9)</f>
        <v>43165</v>
      </c>
      <c r="E5" s="10">
        <f>IF(DAY(MarDom1)=1,MarDom1+3,MarDom1+10)</f>
        <v>43166</v>
      </c>
      <c r="F5" s="10">
        <f>IF(DAY(MarDom1)=1,MarDom1+4,MarDom1+11)</f>
        <v>43167</v>
      </c>
      <c r="G5" s="10">
        <f>IF(DAY(MarDom1)=1,MarDom1+5,MarDom1+12)</f>
        <v>43168</v>
      </c>
      <c r="H5" s="10">
        <f>IF(DAY(MarDom1)=1,MarDom1+6,MarDom1+13)</f>
        <v>43169</v>
      </c>
      <c r="I5" s="10">
        <f>IF(DAY(MarDom1)=1,MarDom1+7,MarDom1+14)</f>
        <v>43170</v>
      </c>
      <c r="J5" s="5"/>
      <c r="K5" s="70"/>
      <c r="L5" s="17"/>
      <c r="M5" s="63"/>
      <c r="N5" s="64"/>
    </row>
    <row r="6" spans="1:14" ht="18" customHeight="1" x14ac:dyDescent="0.2">
      <c r="A6" s="4"/>
      <c r="B6" s="101"/>
      <c r="C6" s="10">
        <f>IF(DAY(MarDom1)=1,MarDom1+8,MarDom1+15)</f>
        <v>43171</v>
      </c>
      <c r="D6" s="10">
        <f>IF(DAY(MarDom1)=1,MarDom1+9,MarDom1+16)</f>
        <v>43172</v>
      </c>
      <c r="E6" s="10">
        <f>IF(DAY(MarDom1)=1,MarDom1+10,MarDom1+17)</f>
        <v>43173</v>
      </c>
      <c r="F6" s="10">
        <f>IF(DAY(MarDom1)=1,MarDom1+11,MarDom1+18)</f>
        <v>43174</v>
      </c>
      <c r="G6" s="10">
        <f>IF(DAY(MarDom1)=1,MarDom1+12,MarDom1+19)</f>
        <v>43175</v>
      </c>
      <c r="H6" s="10">
        <f>IF(DAY(MarDom1)=1,MarDom1+13,MarDom1+20)</f>
        <v>43176</v>
      </c>
      <c r="I6" s="10">
        <f>IF(DAY(MarDom1)=1,MarDom1+14,MarDom1+21)</f>
        <v>43177</v>
      </c>
      <c r="J6" s="5"/>
      <c r="K6" s="70"/>
      <c r="L6" s="17"/>
      <c r="M6" s="63"/>
      <c r="N6" s="64"/>
    </row>
    <row r="7" spans="1:14" ht="18" customHeight="1" x14ac:dyDescent="0.2">
      <c r="A7" s="4"/>
      <c r="B7" s="101"/>
      <c r="C7" s="10">
        <f>IF(DAY(MarDom1)=1,MarDom1+15,MarDom1+22)</f>
        <v>43178</v>
      </c>
      <c r="D7" s="10">
        <f>IF(DAY(MarDom1)=1,MarDom1+16,MarDom1+23)</f>
        <v>43179</v>
      </c>
      <c r="E7" s="10">
        <f>IF(DAY(MarDom1)=1,MarDom1+17,MarDom1+24)</f>
        <v>43180</v>
      </c>
      <c r="F7" s="10">
        <f>IF(DAY(MarDom1)=1,MarDom1+18,MarDom1+25)</f>
        <v>43181</v>
      </c>
      <c r="G7" s="10">
        <f>IF(DAY(MarDom1)=1,MarDom1+19,MarDom1+26)</f>
        <v>43182</v>
      </c>
      <c r="H7" s="10">
        <f>IF(DAY(MarDom1)=1,MarDom1+20,MarDom1+27)</f>
        <v>43183</v>
      </c>
      <c r="I7" s="10">
        <f>IF(DAY(MarDom1)=1,MarDom1+21,MarDom1+28)</f>
        <v>43184</v>
      </c>
      <c r="J7" s="5"/>
      <c r="K7" s="11"/>
      <c r="L7" s="17"/>
      <c r="M7" s="63"/>
      <c r="N7" s="64"/>
    </row>
    <row r="8" spans="1:14" ht="18.75" customHeight="1" x14ac:dyDescent="0.2">
      <c r="A8" s="4"/>
      <c r="B8" s="101"/>
      <c r="C8" s="10">
        <f>IF(DAY(MarDom1)=1,MarDom1+22,MarDom1+29)</f>
        <v>43185</v>
      </c>
      <c r="D8" s="10">
        <f>IF(DAY(MarDom1)=1,MarDom1+23,MarDom1+30)</f>
        <v>43186</v>
      </c>
      <c r="E8" s="10">
        <f>IF(DAY(MarDom1)=1,MarDom1+24,MarDom1+31)</f>
        <v>43187</v>
      </c>
      <c r="F8" s="10">
        <f>IF(DAY(MarDom1)=1,MarDom1+25,MarDom1+32)</f>
        <v>43188</v>
      </c>
      <c r="G8" s="10">
        <f>IF(DAY(MarDom1)=1,MarDom1+26,MarDom1+33)</f>
        <v>43189</v>
      </c>
      <c r="H8" s="10">
        <f>IF(DAY(MarDom1)=1,MarDom1+27,MarDom1+34)</f>
        <v>43190</v>
      </c>
      <c r="I8" s="10">
        <f>IF(DAY(MarDom1)=1,MarDom1+28,MarDom1+35)</f>
        <v>43191</v>
      </c>
      <c r="J8" s="5"/>
      <c r="K8" s="11"/>
      <c r="L8" s="17"/>
      <c r="M8" s="63"/>
      <c r="N8" s="64"/>
    </row>
    <row r="9" spans="1:14" ht="18" customHeight="1" x14ac:dyDescent="0.2">
      <c r="A9" s="4"/>
      <c r="B9" s="101"/>
      <c r="C9" s="10">
        <f>IF(DAY(MarDom1)=1,MarDom1+29,MarDom1+36)</f>
        <v>43192</v>
      </c>
      <c r="D9" s="10">
        <f>IF(DAY(MarDom1)=1,MarDom1+30,MarDom1+37)</f>
        <v>43193</v>
      </c>
      <c r="E9" s="10">
        <f>IF(DAY(MarDom1)=1,MarDom1+31,MarDom1+38)</f>
        <v>43194</v>
      </c>
      <c r="F9" s="10">
        <f>IF(DAY(MarDom1)=1,MarDom1+32,MarDom1+39)</f>
        <v>43195</v>
      </c>
      <c r="G9" s="10">
        <f>IF(DAY(MarDom1)=1,MarDom1+33,MarDom1+40)</f>
        <v>43196</v>
      </c>
      <c r="H9" s="10">
        <f>IF(DAY(MarDom1)=1,MarDom1+34,MarDom1+41)</f>
        <v>43197</v>
      </c>
      <c r="I9" s="10">
        <f>IF(DAY(MarDom1)=1,MarDom1+35,MarDom1+42)</f>
        <v>43198</v>
      </c>
      <c r="J9" s="5"/>
      <c r="K9" s="12"/>
      <c r="L9" s="18"/>
      <c r="M9" s="65"/>
      <c r="N9" s="66"/>
    </row>
    <row r="10" spans="1:14" ht="18" customHeight="1" x14ac:dyDescent="0.2">
      <c r="A10" s="4"/>
      <c r="B10" s="102"/>
      <c r="C10" s="23"/>
      <c r="D10" s="23"/>
      <c r="E10" s="23"/>
      <c r="F10" s="23"/>
      <c r="G10" s="23"/>
      <c r="H10" s="23"/>
      <c r="I10" s="23"/>
      <c r="J10" s="24"/>
      <c r="K10" s="69" t="s">
        <v>13</v>
      </c>
      <c r="L10" s="16"/>
      <c r="M10" s="67"/>
      <c r="N10" s="68"/>
    </row>
    <row r="11" spans="1:14" ht="18" customHeight="1" x14ac:dyDescent="0.2">
      <c r="A11" s="4"/>
      <c r="B11" s="103" t="s">
        <v>11</v>
      </c>
      <c r="C11" s="104"/>
      <c r="D11" s="104"/>
      <c r="E11" s="104"/>
      <c r="F11" s="104"/>
      <c r="G11" s="104"/>
      <c r="H11" s="104"/>
      <c r="I11" s="104"/>
      <c r="J11" s="105"/>
      <c r="K11" s="70"/>
      <c r="L11" s="17"/>
      <c r="M11" s="63"/>
      <c r="N11" s="64"/>
    </row>
    <row r="12" spans="1:14" ht="18" customHeight="1" x14ac:dyDescent="0.2">
      <c r="A12" s="4"/>
      <c r="B12" s="103"/>
      <c r="C12" s="104"/>
      <c r="D12" s="104"/>
      <c r="E12" s="104"/>
      <c r="F12" s="104"/>
      <c r="G12" s="104"/>
      <c r="H12" s="104"/>
      <c r="I12" s="104"/>
      <c r="J12" s="105"/>
      <c r="K12" s="70"/>
      <c r="L12" s="17"/>
      <c r="M12" s="63"/>
      <c r="N12" s="64"/>
    </row>
    <row r="13" spans="1:14" ht="18" customHeight="1" x14ac:dyDescent="0.2">
      <c r="B13" s="3" t="s">
        <v>12</v>
      </c>
      <c r="C13" s="71" t="s">
        <v>13</v>
      </c>
      <c r="D13" s="73"/>
      <c r="E13" s="71" t="s">
        <v>14</v>
      </c>
      <c r="F13" s="73"/>
      <c r="G13" s="71" t="s">
        <v>15</v>
      </c>
      <c r="H13" s="73"/>
      <c r="I13" s="71" t="s">
        <v>16</v>
      </c>
      <c r="J13" s="72"/>
      <c r="K13" s="11"/>
      <c r="L13" s="17"/>
      <c r="M13" s="63"/>
      <c r="N13" s="64"/>
    </row>
    <row r="14" spans="1:14" ht="18" customHeight="1" x14ac:dyDescent="0.2">
      <c r="B14" s="8"/>
      <c r="C14" s="85"/>
      <c r="D14" s="86"/>
      <c r="E14" s="85"/>
      <c r="F14" s="86"/>
      <c r="G14" s="85"/>
      <c r="H14" s="86"/>
      <c r="I14" s="85"/>
      <c r="J14" s="94"/>
      <c r="K14" s="11"/>
      <c r="L14" s="17"/>
      <c r="M14" s="63"/>
      <c r="N14" s="64"/>
    </row>
    <row r="15" spans="1:14" ht="18" customHeight="1" x14ac:dyDescent="0.2">
      <c r="B15" s="6"/>
      <c r="C15" s="83"/>
      <c r="D15" s="84"/>
      <c r="E15" s="83"/>
      <c r="F15" s="84"/>
      <c r="G15" s="83"/>
      <c r="H15" s="84"/>
      <c r="I15" s="91"/>
      <c r="J15" s="92"/>
      <c r="K15" s="13"/>
      <c r="L15" s="19"/>
      <c r="M15" s="65"/>
      <c r="N15" s="66"/>
    </row>
    <row r="16" spans="1:14" ht="18" customHeight="1" x14ac:dyDescent="0.2">
      <c r="B16" s="8"/>
      <c r="C16" s="85"/>
      <c r="D16" s="86"/>
      <c r="E16" s="85"/>
      <c r="F16" s="86"/>
      <c r="G16" s="85"/>
      <c r="H16" s="86"/>
      <c r="I16" s="95"/>
      <c r="J16" s="96"/>
      <c r="K16" s="61" t="s">
        <v>14</v>
      </c>
      <c r="L16" s="16"/>
      <c r="M16" s="67"/>
      <c r="N16" s="68"/>
    </row>
    <row r="17" spans="2:14" ht="18" customHeight="1" x14ac:dyDescent="0.2">
      <c r="B17" s="6"/>
      <c r="C17" s="83"/>
      <c r="D17" s="84"/>
      <c r="E17" s="83"/>
      <c r="F17" s="84"/>
      <c r="G17" s="83"/>
      <c r="H17" s="84"/>
      <c r="I17" s="91"/>
      <c r="J17" s="92"/>
      <c r="K17" s="62"/>
      <c r="L17" s="17"/>
      <c r="M17" s="63"/>
      <c r="N17" s="64"/>
    </row>
    <row r="18" spans="2:14" ht="18" customHeight="1" x14ac:dyDescent="0.2">
      <c r="B18" s="9"/>
      <c r="C18" s="87"/>
      <c r="D18" s="88"/>
      <c r="E18" s="87"/>
      <c r="F18" s="88"/>
      <c r="G18" s="87"/>
      <c r="H18" s="88"/>
      <c r="I18" s="87"/>
      <c r="J18" s="93"/>
      <c r="K18" s="62"/>
      <c r="L18" s="17"/>
      <c r="M18" s="63"/>
      <c r="N18" s="64"/>
    </row>
    <row r="19" spans="2:14" ht="18" customHeight="1" x14ac:dyDescent="0.2">
      <c r="B19" s="6"/>
      <c r="C19" s="83"/>
      <c r="D19" s="84"/>
      <c r="E19" s="83"/>
      <c r="F19" s="84"/>
      <c r="G19" s="83"/>
      <c r="H19" s="84"/>
      <c r="I19" s="91"/>
      <c r="J19" s="92"/>
      <c r="K19" s="11"/>
      <c r="L19" s="17"/>
      <c r="M19" s="63"/>
      <c r="N19" s="64"/>
    </row>
    <row r="20" spans="2:14" ht="18" customHeight="1" x14ac:dyDescent="0.2">
      <c r="B20" s="8"/>
      <c r="C20" s="85"/>
      <c r="D20" s="86"/>
      <c r="E20" s="85"/>
      <c r="F20" s="86"/>
      <c r="G20" s="85"/>
      <c r="H20" s="86"/>
      <c r="I20" s="85"/>
      <c r="J20" s="94"/>
      <c r="K20" s="11"/>
      <c r="L20" s="17"/>
      <c r="M20" s="63"/>
      <c r="N20" s="64"/>
    </row>
    <row r="21" spans="2:14" ht="18" customHeight="1" x14ac:dyDescent="0.2">
      <c r="B21" s="6"/>
      <c r="C21" s="83"/>
      <c r="D21" s="84"/>
      <c r="E21" s="83"/>
      <c r="F21" s="84"/>
      <c r="G21" s="83"/>
      <c r="H21" s="84"/>
      <c r="I21" s="97"/>
      <c r="J21" s="98"/>
      <c r="K21" s="13"/>
      <c r="L21" s="19"/>
      <c r="M21" s="65"/>
      <c r="N21" s="66"/>
    </row>
    <row r="22" spans="2:14" ht="18" customHeight="1" x14ac:dyDescent="0.2">
      <c r="B22" s="8"/>
      <c r="C22" s="85"/>
      <c r="D22" s="86"/>
      <c r="E22" s="85"/>
      <c r="F22" s="86"/>
      <c r="G22" s="85"/>
      <c r="H22" s="86"/>
      <c r="I22" s="85"/>
      <c r="J22" s="94"/>
      <c r="K22" s="61" t="s">
        <v>15</v>
      </c>
      <c r="L22" s="16"/>
      <c r="M22" s="67"/>
      <c r="N22" s="68"/>
    </row>
    <row r="23" spans="2:14" ht="18" customHeight="1" x14ac:dyDescent="0.2">
      <c r="B23" s="6"/>
      <c r="C23" s="83"/>
      <c r="D23" s="84"/>
      <c r="E23" s="83"/>
      <c r="F23" s="84"/>
      <c r="G23" s="83"/>
      <c r="H23" s="84"/>
      <c r="I23" s="91"/>
      <c r="J23" s="92"/>
      <c r="K23" s="62"/>
      <c r="L23" s="17"/>
      <c r="M23" s="63"/>
      <c r="N23" s="64"/>
    </row>
    <row r="24" spans="2:14" ht="18" customHeight="1" x14ac:dyDescent="0.2">
      <c r="B24" s="8"/>
      <c r="C24" s="85"/>
      <c r="D24" s="86"/>
      <c r="E24" s="85"/>
      <c r="F24" s="86"/>
      <c r="G24" s="85"/>
      <c r="H24" s="86"/>
      <c r="I24" s="85"/>
      <c r="J24" s="94"/>
      <c r="K24" s="62"/>
      <c r="L24" s="17"/>
      <c r="M24" s="63"/>
      <c r="N24" s="64"/>
    </row>
    <row r="25" spans="2:14" ht="18" customHeight="1" x14ac:dyDescent="0.2">
      <c r="B25" s="6"/>
      <c r="C25" s="83"/>
      <c r="D25" s="84"/>
      <c r="E25" s="83"/>
      <c r="F25" s="84"/>
      <c r="G25" s="83"/>
      <c r="H25" s="84"/>
      <c r="I25" s="91"/>
      <c r="J25" s="92"/>
      <c r="K25" s="62"/>
      <c r="L25" s="17"/>
      <c r="M25" s="63"/>
      <c r="N25" s="64"/>
    </row>
    <row r="26" spans="2:14" ht="18" customHeight="1" x14ac:dyDescent="0.2">
      <c r="B26" s="8"/>
      <c r="C26" s="85"/>
      <c r="D26" s="86"/>
      <c r="E26" s="85"/>
      <c r="F26" s="86"/>
      <c r="G26" s="85"/>
      <c r="H26" s="86"/>
      <c r="I26" s="85"/>
      <c r="J26" s="94"/>
      <c r="K26" s="11"/>
      <c r="L26" s="17"/>
      <c r="M26" s="63"/>
      <c r="N26" s="64"/>
    </row>
    <row r="27" spans="2:14" ht="18" customHeight="1" x14ac:dyDescent="0.2">
      <c r="B27" s="6"/>
      <c r="C27" s="83"/>
      <c r="D27" s="84"/>
      <c r="E27" s="83"/>
      <c r="F27" s="84"/>
      <c r="G27" s="83"/>
      <c r="H27" s="84"/>
      <c r="I27" s="91"/>
      <c r="J27" s="92"/>
      <c r="K27" s="13"/>
      <c r="L27" s="19"/>
      <c r="M27" s="65"/>
      <c r="N27" s="66"/>
    </row>
    <row r="28" spans="2:14" ht="18" customHeight="1" x14ac:dyDescent="0.2">
      <c r="B28" s="8"/>
      <c r="C28" s="85"/>
      <c r="D28" s="86"/>
      <c r="E28" s="85"/>
      <c r="F28" s="86"/>
      <c r="G28" s="85"/>
      <c r="H28" s="86"/>
      <c r="I28" s="85"/>
      <c r="J28" s="94"/>
      <c r="K28" s="69" t="s">
        <v>16</v>
      </c>
      <c r="L28" s="16"/>
      <c r="M28" s="67"/>
      <c r="N28" s="68"/>
    </row>
    <row r="29" spans="2:14" ht="18" customHeight="1" x14ac:dyDescent="0.2">
      <c r="B29" s="6"/>
      <c r="C29" s="83"/>
      <c r="D29" s="84"/>
      <c r="E29" s="83"/>
      <c r="F29" s="84"/>
      <c r="G29" s="83"/>
      <c r="H29" s="84"/>
      <c r="I29" s="83"/>
      <c r="J29" s="99"/>
      <c r="K29" s="70"/>
      <c r="L29" s="17"/>
      <c r="M29" s="63"/>
      <c r="N29" s="64"/>
    </row>
    <row r="30" spans="2:14" ht="18" customHeight="1" x14ac:dyDescent="0.2">
      <c r="B30" s="8"/>
      <c r="C30" s="85"/>
      <c r="D30" s="86"/>
      <c r="E30" s="85"/>
      <c r="F30" s="86"/>
      <c r="G30" s="85"/>
      <c r="H30" s="86"/>
      <c r="I30" s="108"/>
      <c r="J30" s="109"/>
      <c r="K30" s="70"/>
      <c r="L30" s="17"/>
      <c r="M30" s="63"/>
      <c r="N30" s="64"/>
    </row>
    <row r="31" spans="2:14" ht="18" customHeight="1" x14ac:dyDescent="0.2">
      <c r="B31" s="6"/>
      <c r="C31" s="83"/>
      <c r="D31" s="84"/>
      <c r="E31" s="83"/>
      <c r="F31" s="84"/>
      <c r="G31" s="83"/>
      <c r="H31" s="84"/>
      <c r="I31" s="83"/>
      <c r="J31" s="99"/>
      <c r="K31" s="14"/>
      <c r="L31" s="17"/>
      <c r="M31" s="63"/>
      <c r="N31" s="64"/>
    </row>
    <row r="32" spans="2:14" ht="18" customHeight="1" x14ac:dyDescent="0.2">
      <c r="B32" s="8"/>
      <c r="C32" s="85"/>
      <c r="D32" s="86"/>
      <c r="E32" s="85"/>
      <c r="F32" s="86"/>
      <c r="G32" s="85"/>
      <c r="H32" s="86"/>
      <c r="I32" s="95"/>
      <c r="J32" s="96"/>
      <c r="K32" s="14"/>
      <c r="L32" s="17"/>
      <c r="M32" s="63"/>
      <c r="N32" s="64"/>
    </row>
    <row r="33" spans="2:14" ht="18" customHeight="1" x14ac:dyDescent="0.2">
      <c r="B33" s="7"/>
      <c r="C33" s="89"/>
      <c r="D33" s="90"/>
      <c r="E33" s="89"/>
      <c r="F33" s="90"/>
      <c r="G33" s="89"/>
      <c r="H33" s="90"/>
      <c r="I33" s="110"/>
      <c r="J33" s="111"/>
      <c r="K33" s="15"/>
      <c r="L33" s="20"/>
      <c r="M33" s="106"/>
      <c r="N33" s="107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1" priority="3" stopIfTrue="1">
      <formula>DAY(C4)&gt;8</formula>
    </cfRule>
  </conditionalFormatting>
  <conditionalFormatting sqref="C8:I10">
    <cfRule type="expression" dxfId="40" priority="2" stopIfTrue="1">
      <formula>AND(DAY(C8)&gt;=1,DAY(C8)&lt;=15)</formula>
    </cfRule>
  </conditionalFormatting>
  <conditionalFormatting sqref="C4:I9">
    <cfRule type="expression" dxfId="39" priority="4">
      <formula>VLOOKUP(DAY(C4),DíasDeTareas,1,FALSE)=DAY(C4)</formula>
    </cfRule>
  </conditionalFormatting>
  <conditionalFormatting sqref="B14:J33">
    <cfRule type="expression" dxfId="3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B14" sqref="B14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00" t="s">
        <v>24</v>
      </c>
      <c r="C2" s="21"/>
      <c r="D2" s="21"/>
      <c r="E2" s="21"/>
      <c r="F2" s="21"/>
      <c r="G2" s="21"/>
      <c r="H2" s="21"/>
      <c r="I2" s="21"/>
      <c r="J2" s="22"/>
      <c r="K2" s="74" t="s">
        <v>3</v>
      </c>
      <c r="L2" s="75">
        <v>2013</v>
      </c>
      <c r="M2" s="75"/>
      <c r="N2" s="25"/>
    </row>
    <row r="3" spans="1:14" ht="21" customHeight="1" x14ac:dyDescent="0.2">
      <c r="A3" s="4"/>
      <c r="B3" s="101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6"/>
      <c r="L3" s="77"/>
      <c r="M3" s="77"/>
      <c r="N3" s="26"/>
    </row>
    <row r="4" spans="1:14" ht="18" customHeight="1" x14ac:dyDescent="0.2">
      <c r="A4" s="4"/>
      <c r="B4" s="101"/>
      <c r="C4" s="10">
        <f>IF(DAY(AbrDom1)=1,AbrDom1-6,AbrDom1+1)</f>
        <v>43185</v>
      </c>
      <c r="D4" s="10">
        <f>IF(DAY(AbrDom1)=1,AbrDom1-5,AbrDom1+2)</f>
        <v>43186</v>
      </c>
      <c r="E4" s="10">
        <f>IF(DAY(AbrDom1)=1,AbrDom1-4,AbrDom1+3)</f>
        <v>43187</v>
      </c>
      <c r="F4" s="10">
        <f>IF(DAY(AbrDom1)=1,AbrDom1-3,AbrDom1+4)</f>
        <v>43188</v>
      </c>
      <c r="G4" s="10">
        <f>IF(DAY(AbrDom1)=1,AbrDom1-2,AbrDom1+5)</f>
        <v>43189</v>
      </c>
      <c r="H4" s="10">
        <f>IF(DAY(AbrDom1)=1,AbrDom1-1,AbrDom1+6)</f>
        <v>43190</v>
      </c>
      <c r="I4" s="10">
        <f>IF(DAY(AbrDom1)=1,AbrDom1,AbrDom1+7)</f>
        <v>43191</v>
      </c>
      <c r="J4" s="5"/>
      <c r="K4" s="78" t="s">
        <v>12</v>
      </c>
      <c r="L4" s="16"/>
      <c r="M4" s="79"/>
      <c r="N4" s="80"/>
    </row>
    <row r="5" spans="1:14" ht="18" customHeight="1" x14ac:dyDescent="0.2">
      <c r="A5" s="4"/>
      <c r="B5" s="101"/>
      <c r="C5" s="10">
        <f>IF(DAY(AbrDom1)=1,AbrDom1+1,AbrDom1+8)</f>
        <v>43192</v>
      </c>
      <c r="D5" s="10">
        <f>IF(DAY(AbrDom1)=1,AbrDom1+2,AbrDom1+9)</f>
        <v>43193</v>
      </c>
      <c r="E5" s="10">
        <f>IF(DAY(AbrDom1)=1,AbrDom1+3,AbrDom1+10)</f>
        <v>43194</v>
      </c>
      <c r="F5" s="10">
        <f>IF(DAY(AbrDom1)=1,AbrDom1+4,AbrDom1+11)</f>
        <v>43195</v>
      </c>
      <c r="G5" s="10">
        <f>IF(DAY(AbrDom1)=1,AbrDom1+5,AbrDom1+12)</f>
        <v>43196</v>
      </c>
      <c r="H5" s="10">
        <f>IF(DAY(AbrDom1)=1,AbrDom1+6,AbrDom1+13)</f>
        <v>43197</v>
      </c>
      <c r="I5" s="10">
        <f>IF(DAY(AbrDom1)=1,AbrDom1+7,AbrDom1+14)</f>
        <v>43198</v>
      </c>
      <c r="J5" s="5"/>
      <c r="K5" s="70"/>
      <c r="L5" s="17"/>
      <c r="M5" s="63"/>
      <c r="N5" s="64"/>
    </row>
    <row r="6" spans="1:14" ht="18" customHeight="1" x14ac:dyDescent="0.2">
      <c r="A6" s="4"/>
      <c r="B6" s="101"/>
      <c r="C6" s="10">
        <f>IF(DAY(AbrDom1)=1,AbrDom1+8,AbrDom1+15)</f>
        <v>43199</v>
      </c>
      <c r="D6" s="10">
        <f>IF(DAY(AbrDom1)=1,AbrDom1+9,AbrDom1+16)</f>
        <v>43200</v>
      </c>
      <c r="E6" s="10">
        <f>IF(DAY(AbrDom1)=1,AbrDom1+10,AbrDom1+17)</f>
        <v>43201</v>
      </c>
      <c r="F6" s="10">
        <f>IF(DAY(AbrDom1)=1,AbrDom1+11,AbrDom1+18)</f>
        <v>43202</v>
      </c>
      <c r="G6" s="10">
        <f>IF(DAY(AbrDom1)=1,AbrDom1+12,AbrDom1+19)</f>
        <v>43203</v>
      </c>
      <c r="H6" s="10">
        <f>IF(DAY(AbrDom1)=1,AbrDom1+13,AbrDom1+20)</f>
        <v>43204</v>
      </c>
      <c r="I6" s="10">
        <f>IF(DAY(AbrDom1)=1,AbrDom1+14,AbrDom1+21)</f>
        <v>43205</v>
      </c>
      <c r="J6" s="5"/>
      <c r="K6" s="70"/>
      <c r="L6" s="17"/>
      <c r="M6" s="63"/>
      <c r="N6" s="64"/>
    </row>
    <row r="7" spans="1:14" ht="18" customHeight="1" x14ac:dyDescent="0.2">
      <c r="A7" s="4"/>
      <c r="B7" s="101"/>
      <c r="C7" s="10">
        <f>IF(DAY(AbrDom1)=1,AbrDom1+15,AbrDom1+22)</f>
        <v>43206</v>
      </c>
      <c r="D7" s="10">
        <f>IF(DAY(AbrDom1)=1,AbrDom1+16,AbrDom1+23)</f>
        <v>43207</v>
      </c>
      <c r="E7" s="10">
        <f>IF(DAY(AbrDom1)=1,AbrDom1+17,AbrDom1+24)</f>
        <v>43208</v>
      </c>
      <c r="F7" s="10">
        <f>IF(DAY(AbrDom1)=1,AbrDom1+18,AbrDom1+25)</f>
        <v>43209</v>
      </c>
      <c r="G7" s="10">
        <f>IF(DAY(AbrDom1)=1,AbrDom1+19,AbrDom1+26)</f>
        <v>43210</v>
      </c>
      <c r="H7" s="10">
        <f>IF(DAY(AbrDom1)=1,AbrDom1+20,AbrDom1+27)</f>
        <v>43211</v>
      </c>
      <c r="I7" s="10">
        <f>IF(DAY(AbrDom1)=1,AbrDom1+21,AbrDom1+28)</f>
        <v>43212</v>
      </c>
      <c r="J7" s="5"/>
      <c r="K7" s="11"/>
      <c r="L7" s="17"/>
      <c r="M7" s="63"/>
      <c r="N7" s="64"/>
    </row>
    <row r="8" spans="1:14" ht="18.75" customHeight="1" x14ac:dyDescent="0.2">
      <c r="A8" s="4"/>
      <c r="B8" s="101"/>
      <c r="C8" s="10">
        <f>IF(DAY(AbrDom1)=1,AbrDom1+22,AbrDom1+29)</f>
        <v>43213</v>
      </c>
      <c r="D8" s="10">
        <f>IF(DAY(AbrDom1)=1,AbrDom1+23,AbrDom1+30)</f>
        <v>43214</v>
      </c>
      <c r="E8" s="10">
        <f>IF(DAY(AbrDom1)=1,AbrDom1+24,AbrDom1+31)</f>
        <v>43215</v>
      </c>
      <c r="F8" s="10">
        <f>IF(DAY(AbrDom1)=1,AbrDom1+25,AbrDom1+32)</f>
        <v>43216</v>
      </c>
      <c r="G8" s="10">
        <f>IF(DAY(AbrDom1)=1,AbrDom1+26,AbrDom1+33)</f>
        <v>43217</v>
      </c>
      <c r="H8" s="10">
        <f>IF(DAY(AbrDom1)=1,AbrDom1+27,AbrDom1+34)</f>
        <v>43218</v>
      </c>
      <c r="I8" s="10">
        <f>IF(DAY(AbrDom1)=1,AbrDom1+28,AbrDom1+35)</f>
        <v>43219</v>
      </c>
      <c r="J8" s="5"/>
      <c r="K8" s="11"/>
      <c r="L8" s="17"/>
      <c r="M8" s="63"/>
      <c r="N8" s="64"/>
    </row>
    <row r="9" spans="1:14" ht="18" customHeight="1" x14ac:dyDescent="0.2">
      <c r="A9" s="4"/>
      <c r="B9" s="101"/>
      <c r="C9" s="10">
        <f>IF(DAY(AbrDom1)=1,AbrDom1+29,AbrDom1+36)</f>
        <v>43220</v>
      </c>
      <c r="D9" s="10">
        <f>IF(DAY(AbrDom1)=1,AbrDom1+30,AbrDom1+37)</f>
        <v>43221</v>
      </c>
      <c r="E9" s="10">
        <f>IF(DAY(AbrDom1)=1,AbrDom1+31,AbrDom1+38)</f>
        <v>43222</v>
      </c>
      <c r="F9" s="10">
        <f>IF(DAY(AbrDom1)=1,AbrDom1+32,AbrDom1+39)</f>
        <v>43223</v>
      </c>
      <c r="G9" s="10">
        <f>IF(DAY(AbrDom1)=1,AbrDom1+33,AbrDom1+40)</f>
        <v>43224</v>
      </c>
      <c r="H9" s="10">
        <f>IF(DAY(AbrDom1)=1,AbrDom1+34,AbrDom1+41)</f>
        <v>43225</v>
      </c>
      <c r="I9" s="10">
        <f>IF(DAY(AbrDom1)=1,AbrDom1+35,AbrDom1+42)</f>
        <v>43226</v>
      </c>
      <c r="J9" s="5"/>
      <c r="K9" s="12"/>
      <c r="L9" s="18"/>
      <c r="M9" s="65"/>
      <c r="N9" s="66"/>
    </row>
    <row r="10" spans="1:14" ht="18" customHeight="1" x14ac:dyDescent="0.2">
      <c r="A10" s="4"/>
      <c r="B10" s="102"/>
      <c r="C10" s="23"/>
      <c r="D10" s="23"/>
      <c r="E10" s="23"/>
      <c r="F10" s="23"/>
      <c r="G10" s="23"/>
      <c r="H10" s="23"/>
      <c r="I10" s="23"/>
      <c r="J10" s="24"/>
      <c r="K10" s="69" t="s">
        <v>13</v>
      </c>
      <c r="L10" s="16"/>
      <c r="M10" s="67"/>
      <c r="N10" s="68"/>
    </row>
    <row r="11" spans="1:14" ht="18" customHeight="1" x14ac:dyDescent="0.2">
      <c r="A11" s="4"/>
      <c r="B11" s="103" t="s">
        <v>11</v>
      </c>
      <c r="C11" s="104"/>
      <c r="D11" s="104"/>
      <c r="E11" s="104"/>
      <c r="F11" s="104"/>
      <c r="G11" s="104"/>
      <c r="H11" s="104"/>
      <c r="I11" s="104"/>
      <c r="J11" s="105"/>
      <c r="K11" s="70"/>
      <c r="L11" s="17"/>
      <c r="M11" s="63"/>
      <c r="N11" s="64"/>
    </row>
    <row r="12" spans="1:14" ht="18" customHeight="1" x14ac:dyDescent="0.2">
      <c r="A12" s="4"/>
      <c r="B12" s="103"/>
      <c r="C12" s="104"/>
      <c r="D12" s="104"/>
      <c r="E12" s="104"/>
      <c r="F12" s="104"/>
      <c r="G12" s="104"/>
      <c r="H12" s="104"/>
      <c r="I12" s="104"/>
      <c r="J12" s="105"/>
      <c r="K12" s="70"/>
      <c r="L12" s="17"/>
      <c r="M12" s="63"/>
      <c r="N12" s="64"/>
    </row>
    <row r="13" spans="1:14" ht="18" customHeight="1" x14ac:dyDescent="0.2">
      <c r="B13" s="3" t="s">
        <v>12</v>
      </c>
      <c r="C13" s="71" t="s">
        <v>13</v>
      </c>
      <c r="D13" s="73"/>
      <c r="E13" s="71" t="s">
        <v>14</v>
      </c>
      <c r="F13" s="73"/>
      <c r="G13" s="71" t="s">
        <v>15</v>
      </c>
      <c r="H13" s="73"/>
      <c r="I13" s="71" t="s">
        <v>16</v>
      </c>
      <c r="J13" s="72"/>
      <c r="K13" s="11"/>
      <c r="L13" s="17"/>
      <c r="M13" s="63"/>
      <c r="N13" s="64"/>
    </row>
    <row r="14" spans="1:14" ht="18" customHeight="1" x14ac:dyDescent="0.2">
      <c r="B14" s="8"/>
      <c r="C14" s="85"/>
      <c r="D14" s="86"/>
      <c r="E14" s="85"/>
      <c r="F14" s="86"/>
      <c r="G14" s="85"/>
      <c r="H14" s="86"/>
      <c r="I14" s="85"/>
      <c r="J14" s="94"/>
      <c r="K14" s="11"/>
      <c r="L14" s="17"/>
      <c r="M14" s="63"/>
      <c r="N14" s="64"/>
    </row>
    <row r="15" spans="1:14" ht="18" customHeight="1" x14ac:dyDescent="0.2">
      <c r="B15" s="6"/>
      <c r="C15" s="83"/>
      <c r="D15" s="84"/>
      <c r="E15" s="83"/>
      <c r="F15" s="84"/>
      <c r="G15" s="83"/>
      <c r="H15" s="84"/>
      <c r="I15" s="91"/>
      <c r="J15" s="92"/>
      <c r="K15" s="13"/>
      <c r="L15" s="19"/>
      <c r="M15" s="65"/>
      <c r="N15" s="66"/>
    </row>
    <row r="16" spans="1:14" ht="18" customHeight="1" x14ac:dyDescent="0.2">
      <c r="B16" s="8"/>
      <c r="C16" s="85"/>
      <c r="D16" s="86"/>
      <c r="E16" s="85"/>
      <c r="F16" s="86"/>
      <c r="G16" s="85"/>
      <c r="H16" s="86"/>
      <c r="I16" s="95"/>
      <c r="J16" s="96"/>
      <c r="K16" s="61" t="s">
        <v>14</v>
      </c>
      <c r="L16" s="16"/>
      <c r="M16" s="67"/>
      <c r="N16" s="68"/>
    </row>
    <row r="17" spans="2:14" ht="18" customHeight="1" x14ac:dyDescent="0.2">
      <c r="B17" s="6"/>
      <c r="C17" s="83"/>
      <c r="D17" s="84"/>
      <c r="E17" s="83"/>
      <c r="F17" s="84"/>
      <c r="G17" s="83"/>
      <c r="H17" s="84"/>
      <c r="I17" s="91"/>
      <c r="J17" s="92"/>
      <c r="K17" s="62"/>
      <c r="L17" s="17"/>
      <c r="M17" s="63"/>
      <c r="N17" s="64"/>
    </row>
    <row r="18" spans="2:14" ht="18" customHeight="1" x14ac:dyDescent="0.2">
      <c r="B18" s="9"/>
      <c r="C18" s="87"/>
      <c r="D18" s="88"/>
      <c r="E18" s="87"/>
      <c r="F18" s="88"/>
      <c r="G18" s="87"/>
      <c r="H18" s="88"/>
      <c r="I18" s="87"/>
      <c r="J18" s="93"/>
      <c r="K18" s="62"/>
      <c r="L18" s="17"/>
      <c r="M18" s="63"/>
      <c r="N18" s="64"/>
    </row>
    <row r="19" spans="2:14" ht="18" customHeight="1" x14ac:dyDescent="0.2">
      <c r="B19" s="6"/>
      <c r="C19" s="83"/>
      <c r="D19" s="84"/>
      <c r="E19" s="83"/>
      <c r="F19" s="84"/>
      <c r="G19" s="83"/>
      <c r="H19" s="84"/>
      <c r="I19" s="91"/>
      <c r="J19" s="92"/>
      <c r="K19" s="11"/>
      <c r="L19" s="17"/>
      <c r="M19" s="63"/>
      <c r="N19" s="64"/>
    </row>
    <row r="20" spans="2:14" ht="18" customHeight="1" x14ac:dyDescent="0.2">
      <c r="B20" s="8"/>
      <c r="C20" s="85"/>
      <c r="D20" s="86"/>
      <c r="E20" s="85"/>
      <c r="F20" s="86"/>
      <c r="G20" s="85"/>
      <c r="H20" s="86"/>
      <c r="I20" s="85"/>
      <c r="J20" s="94"/>
      <c r="K20" s="11"/>
      <c r="L20" s="17"/>
      <c r="M20" s="63"/>
      <c r="N20" s="64"/>
    </row>
    <row r="21" spans="2:14" ht="18" customHeight="1" x14ac:dyDescent="0.2">
      <c r="B21" s="6"/>
      <c r="C21" s="83"/>
      <c r="D21" s="84"/>
      <c r="E21" s="83"/>
      <c r="F21" s="84"/>
      <c r="G21" s="83"/>
      <c r="H21" s="84"/>
      <c r="I21" s="97"/>
      <c r="J21" s="98"/>
      <c r="K21" s="13"/>
      <c r="L21" s="19"/>
      <c r="M21" s="65"/>
      <c r="N21" s="66"/>
    </row>
    <row r="22" spans="2:14" ht="18" customHeight="1" x14ac:dyDescent="0.2">
      <c r="B22" s="8"/>
      <c r="C22" s="85"/>
      <c r="D22" s="86"/>
      <c r="E22" s="85"/>
      <c r="F22" s="86"/>
      <c r="G22" s="85"/>
      <c r="H22" s="86"/>
      <c r="I22" s="85"/>
      <c r="J22" s="94"/>
      <c r="K22" s="61" t="s">
        <v>15</v>
      </c>
      <c r="L22" s="16"/>
      <c r="M22" s="67"/>
      <c r="N22" s="68"/>
    </row>
    <row r="23" spans="2:14" ht="18" customHeight="1" x14ac:dyDescent="0.2">
      <c r="B23" s="6"/>
      <c r="C23" s="83"/>
      <c r="D23" s="84"/>
      <c r="E23" s="83"/>
      <c r="F23" s="84"/>
      <c r="G23" s="83"/>
      <c r="H23" s="84"/>
      <c r="I23" s="91"/>
      <c r="J23" s="92"/>
      <c r="K23" s="62"/>
      <c r="L23" s="17"/>
      <c r="M23" s="63"/>
      <c r="N23" s="64"/>
    </row>
    <row r="24" spans="2:14" ht="18" customHeight="1" x14ac:dyDescent="0.2">
      <c r="B24" s="8"/>
      <c r="C24" s="85"/>
      <c r="D24" s="86"/>
      <c r="E24" s="85"/>
      <c r="F24" s="86"/>
      <c r="G24" s="85"/>
      <c r="H24" s="86"/>
      <c r="I24" s="85"/>
      <c r="J24" s="94"/>
      <c r="K24" s="62"/>
      <c r="L24" s="17"/>
      <c r="M24" s="63"/>
      <c r="N24" s="64"/>
    </row>
    <row r="25" spans="2:14" ht="18" customHeight="1" x14ac:dyDescent="0.2">
      <c r="B25" s="6"/>
      <c r="C25" s="83"/>
      <c r="D25" s="84"/>
      <c r="E25" s="83"/>
      <c r="F25" s="84"/>
      <c r="G25" s="83"/>
      <c r="H25" s="84"/>
      <c r="I25" s="91"/>
      <c r="J25" s="92"/>
      <c r="K25" s="62"/>
      <c r="L25" s="17"/>
      <c r="M25" s="63"/>
      <c r="N25" s="64"/>
    </row>
    <row r="26" spans="2:14" ht="18" customHeight="1" x14ac:dyDescent="0.2">
      <c r="B26" s="8"/>
      <c r="C26" s="85"/>
      <c r="D26" s="86"/>
      <c r="E26" s="85"/>
      <c r="F26" s="86"/>
      <c r="G26" s="85"/>
      <c r="H26" s="86"/>
      <c r="I26" s="85"/>
      <c r="J26" s="94"/>
      <c r="K26" s="11"/>
      <c r="L26" s="17"/>
      <c r="M26" s="63"/>
      <c r="N26" s="64"/>
    </row>
    <row r="27" spans="2:14" ht="18" customHeight="1" x14ac:dyDescent="0.2">
      <c r="B27" s="6"/>
      <c r="C27" s="83"/>
      <c r="D27" s="84"/>
      <c r="E27" s="83"/>
      <c r="F27" s="84"/>
      <c r="G27" s="83"/>
      <c r="H27" s="84"/>
      <c r="I27" s="91"/>
      <c r="J27" s="92"/>
      <c r="K27" s="13"/>
      <c r="L27" s="19"/>
      <c r="M27" s="65"/>
      <c r="N27" s="66"/>
    </row>
    <row r="28" spans="2:14" ht="18" customHeight="1" x14ac:dyDescent="0.2">
      <c r="B28" s="8"/>
      <c r="C28" s="85"/>
      <c r="D28" s="86"/>
      <c r="E28" s="85"/>
      <c r="F28" s="86"/>
      <c r="G28" s="85"/>
      <c r="H28" s="86"/>
      <c r="I28" s="85"/>
      <c r="J28" s="94"/>
      <c r="K28" s="69" t="s">
        <v>16</v>
      </c>
      <c r="L28" s="16"/>
      <c r="M28" s="67"/>
      <c r="N28" s="68"/>
    </row>
    <row r="29" spans="2:14" ht="18" customHeight="1" x14ac:dyDescent="0.2">
      <c r="B29" s="6"/>
      <c r="C29" s="83"/>
      <c r="D29" s="84"/>
      <c r="E29" s="83"/>
      <c r="F29" s="84"/>
      <c r="G29" s="83"/>
      <c r="H29" s="84"/>
      <c r="I29" s="83"/>
      <c r="J29" s="99"/>
      <c r="K29" s="70"/>
      <c r="L29" s="17"/>
      <c r="M29" s="63"/>
      <c r="N29" s="64"/>
    </row>
    <row r="30" spans="2:14" ht="18" customHeight="1" x14ac:dyDescent="0.2">
      <c r="B30" s="8"/>
      <c r="C30" s="85"/>
      <c r="D30" s="86"/>
      <c r="E30" s="85"/>
      <c r="F30" s="86"/>
      <c r="G30" s="85"/>
      <c r="H30" s="86"/>
      <c r="I30" s="108"/>
      <c r="J30" s="109"/>
      <c r="K30" s="70"/>
      <c r="L30" s="17"/>
      <c r="M30" s="63"/>
      <c r="N30" s="64"/>
    </row>
    <row r="31" spans="2:14" ht="18" customHeight="1" x14ac:dyDescent="0.2">
      <c r="B31" s="6"/>
      <c r="C31" s="83"/>
      <c r="D31" s="84"/>
      <c r="E31" s="83"/>
      <c r="F31" s="84"/>
      <c r="G31" s="83"/>
      <c r="H31" s="84"/>
      <c r="I31" s="83"/>
      <c r="J31" s="99"/>
      <c r="K31" s="14"/>
      <c r="L31" s="17"/>
      <c r="M31" s="63"/>
      <c r="N31" s="64"/>
    </row>
    <row r="32" spans="2:14" ht="18" customHeight="1" x14ac:dyDescent="0.2">
      <c r="B32" s="8"/>
      <c r="C32" s="85"/>
      <c r="D32" s="86"/>
      <c r="E32" s="85"/>
      <c r="F32" s="86"/>
      <c r="G32" s="85"/>
      <c r="H32" s="86"/>
      <c r="I32" s="95"/>
      <c r="J32" s="96"/>
      <c r="K32" s="14"/>
      <c r="L32" s="17"/>
      <c r="M32" s="63"/>
      <c r="N32" s="64"/>
    </row>
    <row r="33" spans="2:14" ht="18" customHeight="1" x14ac:dyDescent="0.2">
      <c r="B33" s="7"/>
      <c r="C33" s="89"/>
      <c r="D33" s="90"/>
      <c r="E33" s="89"/>
      <c r="F33" s="90"/>
      <c r="G33" s="89"/>
      <c r="H33" s="90"/>
      <c r="I33" s="110"/>
      <c r="J33" s="111"/>
      <c r="K33" s="15"/>
      <c r="L33" s="20"/>
      <c r="M33" s="106"/>
      <c r="N33" s="107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7" priority="3" stopIfTrue="1">
      <formula>DAY(C4)&gt;8</formula>
    </cfRule>
  </conditionalFormatting>
  <conditionalFormatting sqref="C8:I10">
    <cfRule type="expression" dxfId="36" priority="2" stopIfTrue="1">
      <formula>AND(DAY(C8)&gt;=1,DAY(C8)&lt;=15)</formula>
    </cfRule>
  </conditionalFormatting>
  <conditionalFormatting sqref="C4:I9">
    <cfRule type="expression" dxfId="35" priority="4">
      <formula>VLOOKUP(DAY(C4),DíasDeTareas,1,FALSE)=DAY(C4)</formula>
    </cfRule>
  </conditionalFormatting>
  <conditionalFormatting sqref="B14:J33">
    <cfRule type="expression" dxfId="3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7" zoomScaleNormal="100" zoomScalePageLayoutView="84" workbookViewId="0">
      <selection activeCell="B15" sqref="B15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00" t="s">
        <v>23</v>
      </c>
      <c r="C2" s="21"/>
      <c r="D2" s="21"/>
      <c r="E2" s="21"/>
      <c r="F2" s="21"/>
      <c r="G2" s="21"/>
      <c r="H2" s="21"/>
      <c r="I2" s="21"/>
      <c r="J2" s="22"/>
      <c r="K2" s="74" t="s">
        <v>3</v>
      </c>
      <c r="L2" s="75">
        <v>2013</v>
      </c>
      <c r="M2" s="75"/>
      <c r="N2" s="25"/>
    </row>
    <row r="3" spans="1:14" ht="21" customHeight="1" x14ac:dyDescent="0.2">
      <c r="A3" s="4"/>
      <c r="B3" s="101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6"/>
      <c r="L3" s="77"/>
      <c r="M3" s="77"/>
      <c r="N3" s="26"/>
    </row>
    <row r="4" spans="1:14" ht="18" customHeight="1" x14ac:dyDescent="0.2">
      <c r="A4" s="4"/>
      <c r="B4" s="101"/>
      <c r="C4" s="10">
        <f>IF(DAY(MayDom1)=1,MayDom1-6,MayDom1+1)</f>
        <v>43220</v>
      </c>
      <c r="D4" s="10">
        <f>IF(DAY(MayDom1)=1,MayDom1-5,MayDom1+2)</f>
        <v>43221</v>
      </c>
      <c r="E4" s="10">
        <f>IF(DAY(MayDom1)=1,MayDom1-4,MayDom1+3)</f>
        <v>43222</v>
      </c>
      <c r="F4" s="10">
        <f>IF(DAY(MayDom1)=1,MayDom1-3,MayDom1+4)</f>
        <v>43223</v>
      </c>
      <c r="G4" s="10">
        <f>IF(DAY(MayDom1)=1,MayDom1-2,MayDom1+5)</f>
        <v>43224</v>
      </c>
      <c r="H4" s="10">
        <f>IF(DAY(MayDom1)=1,MayDom1-1,MayDom1+6)</f>
        <v>43225</v>
      </c>
      <c r="I4" s="10">
        <f>IF(DAY(MayDom1)=1,MayDom1,MayDom1+7)</f>
        <v>43226</v>
      </c>
      <c r="J4" s="5"/>
      <c r="K4" s="78" t="s">
        <v>12</v>
      </c>
      <c r="L4" s="16"/>
      <c r="M4" s="79"/>
      <c r="N4" s="80"/>
    </row>
    <row r="5" spans="1:14" ht="18" customHeight="1" x14ac:dyDescent="0.2">
      <c r="A5" s="4"/>
      <c r="B5" s="101"/>
      <c r="C5" s="10">
        <f>IF(DAY(MayDom1)=1,MayDom1+1,MayDom1+8)</f>
        <v>43227</v>
      </c>
      <c r="D5" s="10">
        <f>IF(DAY(MayDom1)=1,MayDom1+2,MayDom1+9)</f>
        <v>43228</v>
      </c>
      <c r="E5" s="10">
        <f>IF(DAY(MayDom1)=1,MayDom1+3,MayDom1+10)</f>
        <v>43229</v>
      </c>
      <c r="F5" s="10">
        <f>IF(DAY(MayDom1)=1,MayDom1+4,MayDom1+11)</f>
        <v>43230</v>
      </c>
      <c r="G5" s="10">
        <f>IF(DAY(MayDom1)=1,MayDom1+5,MayDom1+12)</f>
        <v>43231</v>
      </c>
      <c r="H5" s="10">
        <f>IF(DAY(MayDom1)=1,MayDom1+6,MayDom1+13)</f>
        <v>43232</v>
      </c>
      <c r="I5" s="10">
        <f>IF(DAY(MayDom1)=1,MayDom1+7,MayDom1+14)</f>
        <v>43233</v>
      </c>
      <c r="J5" s="5"/>
      <c r="K5" s="70"/>
      <c r="L5" s="17"/>
      <c r="M5" s="63"/>
      <c r="N5" s="64"/>
    </row>
    <row r="6" spans="1:14" ht="18" customHeight="1" x14ac:dyDescent="0.2">
      <c r="A6" s="4"/>
      <c r="B6" s="101"/>
      <c r="C6" s="10">
        <f>IF(DAY(MayDom1)=1,MayDom1+8,MayDom1+15)</f>
        <v>43234</v>
      </c>
      <c r="D6" s="10">
        <f>IF(DAY(MayDom1)=1,MayDom1+9,MayDom1+16)</f>
        <v>43235</v>
      </c>
      <c r="E6" s="10">
        <f>IF(DAY(MayDom1)=1,MayDom1+10,MayDom1+17)</f>
        <v>43236</v>
      </c>
      <c r="F6" s="10">
        <f>IF(DAY(MayDom1)=1,MayDom1+11,MayDom1+18)</f>
        <v>43237</v>
      </c>
      <c r="G6" s="10">
        <f>IF(DAY(MayDom1)=1,MayDom1+12,MayDom1+19)</f>
        <v>43238</v>
      </c>
      <c r="H6" s="10">
        <f>IF(DAY(MayDom1)=1,MayDom1+13,MayDom1+20)</f>
        <v>43239</v>
      </c>
      <c r="I6" s="10">
        <f>IF(DAY(MayDom1)=1,MayDom1+14,MayDom1+21)</f>
        <v>43240</v>
      </c>
      <c r="J6" s="5"/>
      <c r="K6" s="70"/>
      <c r="L6" s="17"/>
      <c r="M6" s="63"/>
      <c r="N6" s="64"/>
    </row>
    <row r="7" spans="1:14" ht="18" customHeight="1" x14ac:dyDescent="0.2">
      <c r="A7" s="4"/>
      <c r="B7" s="101"/>
      <c r="C7" s="10">
        <f>IF(DAY(MayDom1)=1,MayDom1+15,MayDom1+22)</f>
        <v>43241</v>
      </c>
      <c r="D7" s="10">
        <f>IF(DAY(MayDom1)=1,MayDom1+16,MayDom1+23)</f>
        <v>43242</v>
      </c>
      <c r="E7" s="10">
        <f>IF(DAY(MayDom1)=1,MayDom1+17,MayDom1+24)</f>
        <v>43243</v>
      </c>
      <c r="F7" s="10">
        <f>IF(DAY(MayDom1)=1,MayDom1+18,MayDom1+25)</f>
        <v>43244</v>
      </c>
      <c r="G7" s="10">
        <f>IF(DAY(MayDom1)=1,MayDom1+19,MayDom1+26)</f>
        <v>43245</v>
      </c>
      <c r="H7" s="10">
        <f>IF(DAY(MayDom1)=1,MayDom1+20,MayDom1+27)</f>
        <v>43246</v>
      </c>
      <c r="I7" s="10">
        <f>IF(DAY(MayDom1)=1,MayDom1+21,MayDom1+28)</f>
        <v>43247</v>
      </c>
      <c r="J7" s="5"/>
      <c r="K7" s="11"/>
      <c r="L7" s="17"/>
      <c r="M7" s="63"/>
      <c r="N7" s="64"/>
    </row>
    <row r="8" spans="1:14" ht="18.75" customHeight="1" x14ac:dyDescent="0.2">
      <c r="A8" s="4"/>
      <c r="B8" s="101"/>
      <c r="C8" s="10">
        <f>IF(DAY(MayDom1)=1,MayDom1+22,MayDom1+29)</f>
        <v>43248</v>
      </c>
      <c r="D8" s="10">
        <f>IF(DAY(MayDom1)=1,MayDom1+23,MayDom1+30)</f>
        <v>43249</v>
      </c>
      <c r="E8" s="10">
        <f>IF(DAY(MayDom1)=1,MayDom1+24,MayDom1+31)</f>
        <v>43250</v>
      </c>
      <c r="F8" s="10">
        <f>IF(DAY(MayDom1)=1,MayDom1+25,MayDom1+32)</f>
        <v>43251</v>
      </c>
      <c r="G8" s="10">
        <f>IF(DAY(MayDom1)=1,MayDom1+26,MayDom1+33)</f>
        <v>43252</v>
      </c>
      <c r="H8" s="10">
        <f>IF(DAY(MayDom1)=1,MayDom1+27,MayDom1+34)</f>
        <v>43253</v>
      </c>
      <c r="I8" s="10">
        <f>IF(DAY(MayDom1)=1,MayDom1+28,MayDom1+35)</f>
        <v>43254</v>
      </c>
      <c r="J8" s="5"/>
      <c r="K8" s="11"/>
      <c r="L8" s="17"/>
      <c r="M8" s="63"/>
      <c r="N8" s="64"/>
    </row>
    <row r="9" spans="1:14" ht="18" customHeight="1" x14ac:dyDescent="0.2">
      <c r="A9" s="4"/>
      <c r="B9" s="101"/>
      <c r="C9" s="10">
        <f>IF(DAY(MayDom1)=1,MayDom1+29,MayDom1+36)</f>
        <v>43255</v>
      </c>
      <c r="D9" s="10">
        <f>IF(DAY(MayDom1)=1,MayDom1+30,MayDom1+37)</f>
        <v>43256</v>
      </c>
      <c r="E9" s="10">
        <f>IF(DAY(MayDom1)=1,MayDom1+31,MayDom1+38)</f>
        <v>43257</v>
      </c>
      <c r="F9" s="10">
        <f>IF(DAY(MayDom1)=1,MayDom1+32,MayDom1+39)</f>
        <v>43258</v>
      </c>
      <c r="G9" s="10">
        <f>IF(DAY(MayDom1)=1,MayDom1+33,MayDom1+40)</f>
        <v>43259</v>
      </c>
      <c r="H9" s="10">
        <f>IF(DAY(MayDom1)=1,MayDom1+34,MayDom1+41)</f>
        <v>43260</v>
      </c>
      <c r="I9" s="10">
        <f>IF(DAY(MayDom1)=1,MayDom1+35,MayDom1+42)</f>
        <v>43261</v>
      </c>
      <c r="J9" s="5"/>
      <c r="K9" s="12"/>
      <c r="L9" s="18"/>
      <c r="M9" s="65"/>
      <c r="N9" s="66"/>
    </row>
    <row r="10" spans="1:14" ht="18" customHeight="1" x14ac:dyDescent="0.2">
      <c r="A10" s="4"/>
      <c r="B10" s="102"/>
      <c r="C10" s="23"/>
      <c r="D10" s="23"/>
      <c r="E10" s="23"/>
      <c r="F10" s="23"/>
      <c r="G10" s="23"/>
      <c r="H10" s="23"/>
      <c r="I10" s="23"/>
      <c r="J10" s="24"/>
      <c r="K10" s="69" t="s">
        <v>13</v>
      </c>
      <c r="L10" s="16"/>
      <c r="M10" s="67"/>
      <c r="N10" s="68"/>
    </row>
    <row r="11" spans="1:14" ht="18" customHeight="1" x14ac:dyDescent="0.2">
      <c r="A11" s="4"/>
      <c r="B11" s="103" t="s">
        <v>11</v>
      </c>
      <c r="C11" s="104"/>
      <c r="D11" s="104"/>
      <c r="E11" s="104"/>
      <c r="F11" s="104"/>
      <c r="G11" s="104"/>
      <c r="H11" s="104"/>
      <c r="I11" s="104"/>
      <c r="J11" s="105"/>
      <c r="K11" s="70"/>
      <c r="L11" s="17"/>
      <c r="M11" s="63"/>
      <c r="N11" s="64"/>
    </row>
    <row r="12" spans="1:14" ht="18" customHeight="1" x14ac:dyDescent="0.2">
      <c r="A12" s="4"/>
      <c r="B12" s="103"/>
      <c r="C12" s="104"/>
      <c r="D12" s="104"/>
      <c r="E12" s="104"/>
      <c r="F12" s="104"/>
      <c r="G12" s="104"/>
      <c r="H12" s="104"/>
      <c r="I12" s="104"/>
      <c r="J12" s="105"/>
      <c r="K12" s="70"/>
      <c r="L12" s="17"/>
      <c r="M12" s="63"/>
      <c r="N12" s="64"/>
    </row>
    <row r="13" spans="1:14" ht="18" customHeight="1" x14ac:dyDescent="0.2">
      <c r="B13" s="3" t="s">
        <v>12</v>
      </c>
      <c r="C13" s="71" t="s">
        <v>13</v>
      </c>
      <c r="D13" s="73"/>
      <c r="E13" s="71" t="s">
        <v>14</v>
      </c>
      <c r="F13" s="73"/>
      <c r="G13" s="71" t="s">
        <v>15</v>
      </c>
      <c r="H13" s="73"/>
      <c r="I13" s="71" t="s">
        <v>16</v>
      </c>
      <c r="J13" s="72"/>
      <c r="K13" s="11"/>
      <c r="L13" s="17"/>
      <c r="M13" s="63"/>
      <c r="N13" s="64"/>
    </row>
    <row r="14" spans="1:14" ht="18" customHeight="1" x14ac:dyDescent="0.2">
      <c r="B14" s="8" t="s">
        <v>2</v>
      </c>
      <c r="C14" s="85"/>
      <c r="D14" s="86"/>
      <c r="E14" s="85" t="s">
        <v>2</v>
      </c>
      <c r="F14" s="86"/>
      <c r="G14" s="85"/>
      <c r="H14" s="86"/>
      <c r="I14" s="85" t="s">
        <v>2</v>
      </c>
      <c r="J14" s="94"/>
      <c r="K14" s="11"/>
      <c r="L14" s="17"/>
      <c r="M14" s="63"/>
      <c r="N14" s="64"/>
    </row>
    <row r="15" spans="1:14" ht="18" customHeight="1" x14ac:dyDescent="0.2">
      <c r="B15" s="6"/>
      <c r="C15" s="83"/>
      <c r="D15" s="84"/>
      <c r="E15" s="83"/>
      <c r="F15" s="84"/>
      <c r="G15" s="83"/>
      <c r="H15" s="84"/>
      <c r="I15" s="91"/>
      <c r="J15" s="92"/>
      <c r="K15" s="13"/>
      <c r="L15" s="19"/>
      <c r="M15" s="65"/>
      <c r="N15" s="66"/>
    </row>
    <row r="16" spans="1:14" ht="18" customHeight="1" x14ac:dyDescent="0.2">
      <c r="B16" s="8"/>
      <c r="C16" s="85"/>
      <c r="D16" s="86"/>
      <c r="E16" s="85"/>
      <c r="F16" s="86"/>
      <c r="G16" s="85"/>
      <c r="H16" s="86"/>
      <c r="I16" s="95"/>
      <c r="J16" s="96"/>
      <c r="K16" s="61" t="s">
        <v>14</v>
      </c>
      <c r="L16" s="16"/>
      <c r="M16" s="67"/>
      <c r="N16" s="68"/>
    </row>
    <row r="17" spans="2:14" ht="18" customHeight="1" x14ac:dyDescent="0.2">
      <c r="B17" s="6"/>
      <c r="C17" s="83"/>
      <c r="D17" s="84"/>
      <c r="E17" s="83"/>
      <c r="F17" s="84"/>
      <c r="G17" s="83"/>
      <c r="H17" s="84"/>
      <c r="I17" s="91"/>
      <c r="J17" s="92"/>
      <c r="K17" s="62"/>
      <c r="L17" s="17"/>
      <c r="M17" s="63"/>
      <c r="N17" s="64"/>
    </row>
    <row r="18" spans="2:14" ht="18" customHeight="1" x14ac:dyDescent="0.2">
      <c r="B18" s="9"/>
      <c r="C18" s="87"/>
      <c r="D18" s="88"/>
      <c r="E18" s="87"/>
      <c r="F18" s="88"/>
      <c r="G18" s="87"/>
      <c r="H18" s="88"/>
      <c r="I18" s="87"/>
      <c r="J18" s="93"/>
      <c r="K18" s="62"/>
      <c r="L18" s="17"/>
      <c r="M18" s="63"/>
      <c r="N18" s="64"/>
    </row>
    <row r="19" spans="2:14" ht="18" customHeight="1" x14ac:dyDescent="0.2">
      <c r="B19" s="6"/>
      <c r="C19" s="83"/>
      <c r="D19" s="84"/>
      <c r="E19" s="83"/>
      <c r="F19" s="84"/>
      <c r="G19" s="83"/>
      <c r="H19" s="84"/>
      <c r="I19" s="91"/>
      <c r="J19" s="92"/>
      <c r="K19" s="11"/>
      <c r="L19" s="17"/>
      <c r="M19" s="63"/>
      <c r="N19" s="64"/>
    </row>
    <row r="20" spans="2:14" ht="18" customHeight="1" x14ac:dyDescent="0.2">
      <c r="B20" s="8"/>
      <c r="C20" s="85"/>
      <c r="D20" s="86"/>
      <c r="E20" s="85"/>
      <c r="F20" s="86"/>
      <c r="G20" s="85"/>
      <c r="H20" s="86"/>
      <c r="I20" s="85"/>
      <c r="J20" s="94"/>
      <c r="K20" s="11"/>
      <c r="L20" s="17"/>
      <c r="M20" s="63"/>
      <c r="N20" s="64"/>
    </row>
    <row r="21" spans="2:14" ht="18" customHeight="1" x14ac:dyDescent="0.2">
      <c r="B21" s="6"/>
      <c r="C21" s="83"/>
      <c r="D21" s="84"/>
      <c r="E21" s="83"/>
      <c r="F21" s="84"/>
      <c r="G21" s="83"/>
      <c r="H21" s="84"/>
      <c r="I21" s="97"/>
      <c r="J21" s="98"/>
      <c r="K21" s="13"/>
      <c r="L21" s="19"/>
      <c r="M21" s="65"/>
      <c r="N21" s="66"/>
    </row>
    <row r="22" spans="2:14" ht="18" customHeight="1" x14ac:dyDescent="0.2">
      <c r="B22" s="8"/>
      <c r="C22" s="85"/>
      <c r="D22" s="86"/>
      <c r="E22" s="85"/>
      <c r="F22" s="86"/>
      <c r="G22" s="85"/>
      <c r="H22" s="86"/>
      <c r="I22" s="85"/>
      <c r="J22" s="94"/>
      <c r="K22" s="61" t="s">
        <v>15</v>
      </c>
      <c r="L22" s="16"/>
      <c r="M22" s="67"/>
      <c r="N22" s="68"/>
    </row>
    <row r="23" spans="2:14" ht="18" customHeight="1" x14ac:dyDescent="0.2">
      <c r="B23" s="6"/>
      <c r="C23" s="83"/>
      <c r="D23" s="84"/>
      <c r="E23" s="83"/>
      <c r="F23" s="84"/>
      <c r="G23" s="83"/>
      <c r="H23" s="84"/>
      <c r="I23" s="91"/>
      <c r="J23" s="92"/>
      <c r="K23" s="62"/>
      <c r="L23" s="17"/>
      <c r="M23" s="63"/>
      <c r="N23" s="64"/>
    </row>
    <row r="24" spans="2:14" ht="18" customHeight="1" x14ac:dyDescent="0.2">
      <c r="B24" s="8"/>
      <c r="C24" s="85"/>
      <c r="D24" s="86"/>
      <c r="E24" s="85"/>
      <c r="F24" s="86"/>
      <c r="G24" s="85"/>
      <c r="H24" s="86"/>
      <c r="I24" s="85"/>
      <c r="J24" s="94"/>
      <c r="K24" s="62"/>
      <c r="L24" s="17"/>
      <c r="M24" s="63"/>
      <c r="N24" s="64"/>
    </row>
    <row r="25" spans="2:14" ht="18" customHeight="1" x14ac:dyDescent="0.2">
      <c r="B25" s="6"/>
      <c r="C25" s="83"/>
      <c r="D25" s="84"/>
      <c r="E25" s="83"/>
      <c r="F25" s="84"/>
      <c r="G25" s="83"/>
      <c r="H25" s="84"/>
      <c r="I25" s="91"/>
      <c r="J25" s="92"/>
      <c r="K25" s="62"/>
      <c r="L25" s="17"/>
      <c r="M25" s="63"/>
      <c r="N25" s="64"/>
    </row>
    <row r="26" spans="2:14" ht="18" customHeight="1" x14ac:dyDescent="0.2">
      <c r="B26" s="8"/>
      <c r="C26" s="85"/>
      <c r="D26" s="86"/>
      <c r="E26" s="85"/>
      <c r="F26" s="86"/>
      <c r="G26" s="85"/>
      <c r="H26" s="86"/>
      <c r="I26" s="85"/>
      <c r="J26" s="94"/>
      <c r="K26" s="11"/>
      <c r="L26" s="17"/>
      <c r="M26" s="63"/>
      <c r="N26" s="64"/>
    </row>
    <row r="27" spans="2:14" ht="18" customHeight="1" x14ac:dyDescent="0.2">
      <c r="B27" s="6"/>
      <c r="C27" s="83"/>
      <c r="D27" s="84"/>
      <c r="E27" s="83"/>
      <c r="F27" s="84"/>
      <c r="G27" s="83"/>
      <c r="H27" s="84"/>
      <c r="I27" s="91"/>
      <c r="J27" s="92"/>
      <c r="K27" s="13"/>
      <c r="L27" s="19"/>
      <c r="M27" s="65"/>
      <c r="N27" s="66"/>
    </row>
    <row r="28" spans="2:14" ht="18" customHeight="1" x14ac:dyDescent="0.2">
      <c r="B28" s="8"/>
      <c r="C28" s="85"/>
      <c r="D28" s="86"/>
      <c r="E28" s="85"/>
      <c r="F28" s="86"/>
      <c r="G28" s="85"/>
      <c r="H28" s="86"/>
      <c r="I28" s="85"/>
      <c r="J28" s="94"/>
      <c r="K28" s="69" t="s">
        <v>16</v>
      </c>
      <c r="L28" s="16"/>
      <c r="M28" s="67"/>
      <c r="N28" s="68"/>
    </row>
    <row r="29" spans="2:14" ht="18" customHeight="1" x14ac:dyDescent="0.2">
      <c r="B29" s="6"/>
      <c r="C29" s="83"/>
      <c r="D29" s="84"/>
      <c r="E29" s="83"/>
      <c r="F29" s="84"/>
      <c r="G29" s="83"/>
      <c r="H29" s="84"/>
      <c r="I29" s="83"/>
      <c r="J29" s="99"/>
      <c r="K29" s="70"/>
      <c r="L29" s="17"/>
      <c r="M29" s="63"/>
      <c r="N29" s="64"/>
    </row>
    <row r="30" spans="2:14" ht="18" customHeight="1" x14ac:dyDescent="0.2">
      <c r="B30" s="8"/>
      <c r="C30" s="85"/>
      <c r="D30" s="86"/>
      <c r="E30" s="85"/>
      <c r="F30" s="86"/>
      <c r="G30" s="85"/>
      <c r="H30" s="86"/>
      <c r="I30" s="108"/>
      <c r="J30" s="109"/>
      <c r="K30" s="70"/>
      <c r="L30" s="17"/>
      <c r="M30" s="63"/>
      <c r="N30" s="64"/>
    </row>
    <row r="31" spans="2:14" ht="18" customHeight="1" x14ac:dyDescent="0.2">
      <c r="B31" s="6"/>
      <c r="C31" s="83"/>
      <c r="D31" s="84"/>
      <c r="E31" s="83"/>
      <c r="F31" s="84"/>
      <c r="G31" s="83"/>
      <c r="H31" s="84"/>
      <c r="I31" s="83"/>
      <c r="J31" s="99"/>
      <c r="K31" s="14"/>
      <c r="L31" s="17"/>
      <c r="M31" s="63"/>
      <c r="N31" s="64"/>
    </row>
    <row r="32" spans="2:14" ht="18" customHeight="1" x14ac:dyDescent="0.2">
      <c r="B32" s="8"/>
      <c r="C32" s="85"/>
      <c r="D32" s="86"/>
      <c r="E32" s="85"/>
      <c r="F32" s="86"/>
      <c r="G32" s="85"/>
      <c r="H32" s="86"/>
      <c r="I32" s="95"/>
      <c r="J32" s="96"/>
      <c r="K32" s="14"/>
      <c r="L32" s="17"/>
      <c r="M32" s="63"/>
      <c r="N32" s="64"/>
    </row>
    <row r="33" spans="2:14" ht="18" customHeight="1" x14ac:dyDescent="0.2">
      <c r="B33" s="7"/>
      <c r="C33" s="89"/>
      <c r="D33" s="90"/>
      <c r="E33" s="89"/>
      <c r="F33" s="90"/>
      <c r="G33" s="89"/>
      <c r="H33" s="90"/>
      <c r="I33" s="110"/>
      <c r="J33" s="111"/>
      <c r="K33" s="15"/>
      <c r="L33" s="20"/>
      <c r="M33" s="106"/>
      <c r="N33" s="107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3" priority="3" stopIfTrue="1">
      <formula>DAY(C4)&gt;8</formula>
    </cfRule>
  </conditionalFormatting>
  <conditionalFormatting sqref="C8:I10">
    <cfRule type="expression" dxfId="32" priority="2" stopIfTrue="1">
      <formula>AND(DAY(C8)&gt;=1,DAY(C8)&lt;=15)</formula>
    </cfRule>
  </conditionalFormatting>
  <conditionalFormatting sqref="C4:I9">
    <cfRule type="expression" dxfId="31" priority="4">
      <formula>VLOOKUP(DAY(C4),DíasDeTareas,1,FALSE)=DAY(C4)</formula>
    </cfRule>
  </conditionalFormatting>
  <conditionalFormatting sqref="B14:J33">
    <cfRule type="expression" dxfId="3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M25" sqref="M24:N2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00" t="s">
        <v>22</v>
      </c>
      <c r="C2" s="21"/>
      <c r="D2" s="21"/>
      <c r="E2" s="21"/>
      <c r="F2" s="21"/>
      <c r="G2" s="21"/>
      <c r="H2" s="21"/>
      <c r="I2" s="21"/>
      <c r="J2" s="22"/>
      <c r="K2" s="74" t="s">
        <v>3</v>
      </c>
      <c r="L2" s="75">
        <v>2013</v>
      </c>
      <c r="M2" s="75"/>
      <c r="N2" s="25"/>
    </row>
    <row r="3" spans="1:14" ht="21" customHeight="1" x14ac:dyDescent="0.2">
      <c r="A3" s="4"/>
      <c r="B3" s="101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6"/>
      <c r="L3" s="77"/>
      <c r="M3" s="77"/>
      <c r="N3" s="26"/>
    </row>
    <row r="4" spans="1:14" ht="18" customHeight="1" x14ac:dyDescent="0.2">
      <c r="A4" s="4"/>
      <c r="B4" s="101"/>
      <c r="C4" s="10">
        <f>IF(DAY(JunDom1)=1,JunDom1-6,JunDom1+1)</f>
        <v>43248</v>
      </c>
      <c r="D4" s="10">
        <f>IF(DAY(JunDom1)=1,JunDom1-5,JunDom1+2)</f>
        <v>43249</v>
      </c>
      <c r="E4" s="10">
        <f>IF(DAY(JunDom1)=1,JunDom1-4,JunDom1+3)</f>
        <v>43250</v>
      </c>
      <c r="F4" s="10">
        <f>IF(DAY(JunDom1)=1,JunDom1-3,JunDom1+4)</f>
        <v>43251</v>
      </c>
      <c r="G4" s="10">
        <f>IF(DAY(JunDom1)=1,JunDom1-2,JunDom1+5)</f>
        <v>43252</v>
      </c>
      <c r="H4" s="10">
        <f>IF(DAY(JunDom1)=1,JunDom1-1,JunDom1+6)</f>
        <v>43253</v>
      </c>
      <c r="I4" s="10">
        <f>IF(DAY(JunDom1)=1,JunDom1,JunDom1+7)</f>
        <v>43254</v>
      </c>
      <c r="J4" s="5"/>
      <c r="K4" s="78" t="s">
        <v>12</v>
      </c>
      <c r="L4" s="16"/>
      <c r="M4" s="79"/>
      <c r="N4" s="80"/>
    </row>
    <row r="5" spans="1:14" ht="18" customHeight="1" x14ac:dyDescent="0.2">
      <c r="A5" s="4"/>
      <c r="B5" s="101"/>
      <c r="C5" s="10">
        <f>IF(DAY(JunDom1)=1,JunDom1+1,JunDom1+8)</f>
        <v>43255</v>
      </c>
      <c r="D5" s="10">
        <f>IF(DAY(JunDom1)=1,JunDom1+2,JunDom1+9)</f>
        <v>43256</v>
      </c>
      <c r="E5" s="10">
        <f>IF(DAY(JunDom1)=1,JunDom1+3,JunDom1+10)</f>
        <v>43257</v>
      </c>
      <c r="F5" s="10">
        <f>IF(DAY(JunDom1)=1,JunDom1+4,JunDom1+11)</f>
        <v>43258</v>
      </c>
      <c r="G5" s="10">
        <f>IF(DAY(JunDom1)=1,JunDom1+5,JunDom1+12)</f>
        <v>43259</v>
      </c>
      <c r="H5" s="10">
        <f>IF(DAY(JunDom1)=1,JunDom1+6,JunDom1+13)</f>
        <v>43260</v>
      </c>
      <c r="I5" s="10">
        <f>IF(DAY(JunDom1)=1,JunDom1+7,JunDom1+14)</f>
        <v>43261</v>
      </c>
      <c r="J5" s="5"/>
      <c r="K5" s="70"/>
      <c r="L5" s="17"/>
      <c r="M5" s="63"/>
      <c r="N5" s="64"/>
    </row>
    <row r="6" spans="1:14" ht="18" customHeight="1" x14ac:dyDescent="0.2">
      <c r="A6" s="4"/>
      <c r="B6" s="101"/>
      <c r="C6" s="10">
        <f>IF(DAY(JunDom1)=1,JunDom1+8,JunDom1+15)</f>
        <v>43262</v>
      </c>
      <c r="D6" s="10">
        <f>IF(DAY(JunDom1)=1,JunDom1+9,JunDom1+16)</f>
        <v>43263</v>
      </c>
      <c r="E6" s="10">
        <f>IF(DAY(JunDom1)=1,JunDom1+10,JunDom1+17)</f>
        <v>43264</v>
      </c>
      <c r="F6" s="10">
        <f>IF(DAY(JunDom1)=1,JunDom1+11,JunDom1+18)</f>
        <v>43265</v>
      </c>
      <c r="G6" s="10">
        <f>IF(DAY(JunDom1)=1,JunDom1+12,JunDom1+19)</f>
        <v>43266</v>
      </c>
      <c r="H6" s="10">
        <f>IF(DAY(JunDom1)=1,JunDom1+13,JunDom1+20)</f>
        <v>43267</v>
      </c>
      <c r="I6" s="10">
        <f>IF(DAY(JunDom1)=1,JunDom1+14,JunDom1+21)</f>
        <v>43268</v>
      </c>
      <c r="J6" s="5"/>
      <c r="K6" s="70"/>
      <c r="L6" s="17"/>
      <c r="M6" s="63"/>
      <c r="N6" s="64"/>
    </row>
    <row r="7" spans="1:14" ht="18" customHeight="1" x14ac:dyDescent="0.2">
      <c r="A7" s="4"/>
      <c r="B7" s="101"/>
      <c r="C7" s="10">
        <f>IF(DAY(JunDom1)=1,JunDom1+15,JunDom1+22)</f>
        <v>43269</v>
      </c>
      <c r="D7" s="10">
        <f>IF(DAY(JunDom1)=1,JunDom1+16,JunDom1+23)</f>
        <v>43270</v>
      </c>
      <c r="E7" s="10">
        <f>IF(DAY(JunDom1)=1,JunDom1+17,JunDom1+24)</f>
        <v>43271</v>
      </c>
      <c r="F7" s="10">
        <f>IF(DAY(JunDom1)=1,JunDom1+18,JunDom1+25)</f>
        <v>43272</v>
      </c>
      <c r="G7" s="10">
        <f>IF(DAY(JunDom1)=1,JunDom1+19,JunDom1+26)</f>
        <v>43273</v>
      </c>
      <c r="H7" s="10">
        <f>IF(DAY(JunDom1)=1,JunDom1+20,JunDom1+27)</f>
        <v>43274</v>
      </c>
      <c r="I7" s="10">
        <f>IF(DAY(JunDom1)=1,JunDom1+21,JunDom1+28)</f>
        <v>43275</v>
      </c>
      <c r="J7" s="5"/>
      <c r="K7" s="11"/>
      <c r="L7" s="17"/>
      <c r="M7" s="63"/>
      <c r="N7" s="64"/>
    </row>
    <row r="8" spans="1:14" ht="18.75" customHeight="1" x14ac:dyDescent="0.2">
      <c r="A8" s="4"/>
      <c r="B8" s="101"/>
      <c r="C8" s="10">
        <f>IF(DAY(JunDom1)=1,JunDom1+22,JunDom1+29)</f>
        <v>43276</v>
      </c>
      <c r="D8" s="10">
        <f>IF(DAY(JunDom1)=1,JunDom1+23,JunDom1+30)</f>
        <v>43277</v>
      </c>
      <c r="E8" s="10">
        <f>IF(DAY(JunDom1)=1,JunDom1+24,JunDom1+31)</f>
        <v>43278</v>
      </c>
      <c r="F8" s="10">
        <f>IF(DAY(JunDom1)=1,JunDom1+25,JunDom1+32)</f>
        <v>43279</v>
      </c>
      <c r="G8" s="10">
        <f>IF(DAY(JunDom1)=1,JunDom1+26,JunDom1+33)</f>
        <v>43280</v>
      </c>
      <c r="H8" s="10">
        <f>IF(DAY(JunDom1)=1,JunDom1+27,JunDom1+34)</f>
        <v>43281</v>
      </c>
      <c r="I8" s="10">
        <f>IF(DAY(JunDom1)=1,JunDom1+28,JunDom1+35)</f>
        <v>43282</v>
      </c>
      <c r="J8" s="5"/>
      <c r="K8" s="11"/>
      <c r="L8" s="17"/>
      <c r="M8" s="63"/>
      <c r="N8" s="64"/>
    </row>
    <row r="9" spans="1:14" ht="18" customHeight="1" x14ac:dyDescent="0.2">
      <c r="A9" s="4"/>
      <c r="B9" s="101"/>
      <c r="C9" s="10">
        <f>IF(DAY(JunDom1)=1,JunDom1+29,JunDom1+36)</f>
        <v>43283</v>
      </c>
      <c r="D9" s="10">
        <f>IF(DAY(JunDom1)=1,JunDom1+30,JunDom1+37)</f>
        <v>43284</v>
      </c>
      <c r="E9" s="10">
        <f>IF(DAY(JunDom1)=1,JunDom1+31,JunDom1+38)</f>
        <v>43285</v>
      </c>
      <c r="F9" s="10">
        <f>IF(DAY(JunDom1)=1,JunDom1+32,JunDom1+39)</f>
        <v>43286</v>
      </c>
      <c r="G9" s="10">
        <f>IF(DAY(JunDom1)=1,JunDom1+33,JunDom1+40)</f>
        <v>43287</v>
      </c>
      <c r="H9" s="10">
        <f>IF(DAY(JunDom1)=1,JunDom1+34,JunDom1+41)</f>
        <v>43288</v>
      </c>
      <c r="I9" s="10">
        <f>IF(DAY(JunDom1)=1,JunDom1+35,JunDom1+42)</f>
        <v>43289</v>
      </c>
      <c r="J9" s="5"/>
      <c r="K9" s="12"/>
      <c r="L9" s="18"/>
      <c r="M9" s="65"/>
      <c r="N9" s="66"/>
    </row>
    <row r="10" spans="1:14" ht="18" customHeight="1" x14ac:dyDescent="0.2">
      <c r="A10" s="4"/>
      <c r="B10" s="102"/>
      <c r="C10" s="23"/>
      <c r="D10" s="23"/>
      <c r="E10" s="23"/>
      <c r="F10" s="23"/>
      <c r="G10" s="23"/>
      <c r="H10" s="23"/>
      <c r="I10" s="23"/>
      <c r="J10" s="24"/>
      <c r="K10" s="69" t="s">
        <v>13</v>
      </c>
      <c r="L10" s="16"/>
      <c r="M10" s="67"/>
      <c r="N10" s="68"/>
    </row>
    <row r="11" spans="1:14" ht="18" customHeight="1" x14ac:dyDescent="0.2">
      <c r="A11" s="4"/>
      <c r="B11" s="103" t="s">
        <v>11</v>
      </c>
      <c r="C11" s="104"/>
      <c r="D11" s="104"/>
      <c r="E11" s="104"/>
      <c r="F11" s="104"/>
      <c r="G11" s="104"/>
      <c r="H11" s="104"/>
      <c r="I11" s="104"/>
      <c r="J11" s="105"/>
      <c r="K11" s="70"/>
      <c r="L11" s="17"/>
      <c r="M11" s="63"/>
      <c r="N11" s="64"/>
    </row>
    <row r="12" spans="1:14" ht="18" customHeight="1" x14ac:dyDescent="0.2">
      <c r="A12" s="4"/>
      <c r="B12" s="103"/>
      <c r="C12" s="104"/>
      <c r="D12" s="104"/>
      <c r="E12" s="104"/>
      <c r="F12" s="104"/>
      <c r="G12" s="104"/>
      <c r="H12" s="104"/>
      <c r="I12" s="104"/>
      <c r="J12" s="105"/>
      <c r="K12" s="70"/>
      <c r="L12" s="17"/>
      <c r="M12" s="63"/>
      <c r="N12" s="64"/>
    </row>
    <row r="13" spans="1:14" ht="18" customHeight="1" x14ac:dyDescent="0.2">
      <c r="B13" s="3" t="s">
        <v>12</v>
      </c>
      <c r="C13" s="71" t="s">
        <v>13</v>
      </c>
      <c r="D13" s="73"/>
      <c r="E13" s="71" t="s">
        <v>14</v>
      </c>
      <c r="F13" s="73"/>
      <c r="G13" s="71" t="s">
        <v>15</v>
      </c>
      <c r="H13" s="73"/>
      <c r="I13" s="71" t="s">
        <v>16</v>
      </c>
      <c r="J13" s="72"/>
      <c r="K13" s="11"/>
      <c r="L13" s="17"/>
      <c r="M13" s="63"/>
      <c r="N13" s="64"/>
    </row>
    <row r="14" spans="1:14" ht="18" customHeight="1" x14ac:dyDescent="0.2">
      <c r="B14" s="8"/>
      <c r="C14" s="85"/>
      <c r="D14" s="86"/>
      <c r="E14" s="85"/>
      <c r="F14" s="86"/>
      <c r="G14" s="85"/>
      <c r="H14" s="86"/>
      <c r="I14" s="85"/>
      <c r="J14" s="94"/>
      <c r="K14" s="11"/>
      <c r="L14" s="17"/>
      <c r="M14" s="63"/>
      <c r="N14" s="64"/>
    </row>
    <row r="15" spans="1:14" ht="18" customHeight="1" x14ac:dyDescent="0.2">
      <c r="B15" s="6"/>
      <c r="C15" s="83"/>
      <c r="D15" s="84"/>
      <c r="E15" s="83"/>
      <c r="F15" s="84"/>
      <c r="G15" s="83"/>
      <c r="H15" s="84"/>
      <c r="I15" s="91"/>
      <c r="J15" s="92"/>
      <c r="K15" s="13"/>
      <c r="L15" s="19"/>
      <c r="M15" s="65"/>
      <c r="N15" s="66"/>
    </row>
    <row r="16" spans="1:14" ht="18" customHeight="1" x14ac:dyDescent="0.2">
      <c r="B16" s="8"/>
      <c r="C16" s="85"/>
      <c r="D16" s="86"/>
      <c r="E16" s="85"/>
      <c r="F16" s="86"/>
      <c r="G16" s="85"/>
      <c r="H16" s="86"/>
      <c r="I16" s="95"/>
      <c r="J16" s="96"/>
      <c r="K16" s="61" t="s">
        <v>14</v>
      </c>
      <c r="L16" s="16"/>
      <c r="M16" s="67"/>
      <c r="N16" s="68"/>
    </row>
    <row r="17" spans="2:14" ht="18" customHeight="1" x14ac:dyDescent="0.2">
      <c r="B17" s="6"/>
      <c r="C17" s="83"/>
      <c r="D17" s="84"/>
      <c r="E17" s="83"/>
      <c r="F17" s="84"/>
      <c r="G17" s="83"/>
      <c r="H17" s="84"/>
      <c r="I17" s="91"/>
      <c r="J17" s="92"/>
      <c r="K17" s="62"/>
      <c r="L17" s="17"/>
      <c r="M17" s="63"/>
      <c r="N17" s="64"/>
    </row>
    <row r="18" spans="2:14" ht="18" customHeight="1" x14ac:dyDescent="0.2">
      <c r="B18" s="9"/>
      <c r="C18" s="87"/>
      <c r="D18" s="88"/>
      <c r="E18" s="87"/>
      <c r="F18" s="88"/>
      <c r="G18" s="87"/>
      <c r="H18" s="88"/>
      <c r="I18" s="87"/>
      <c r="J18" s="93"/>
      <c r="K18" s="62"/>
      <c r="L18" s="17"/>
      <c r="M18" s="63"/>
      <c r="N18" s="64"/>
    </row>
    <row r="19" spans="2:14" ht="18" customHeight="1" x14ac:dyDescent="0.2">
      <c r="B19" s="6"/>
      <c r="C19" s="83"/>
      <c r="D19" s="84"/>
      <c r="E19" s="83"/>
      <c r="F19" s="84"/>
      <c r="G19" s="83"/>
      <c r="H19" s="84"/>
      <c r="I19" s="91"/>
      <c r="J19" s="92"/>
      <c r="K19" s="11"/>
      <c r="L19" s="17"/>
      <c r="M19" s="63"/>
      <c r="N19" s="64"/>
    </row>
    <row r="20" spans="2:14" ht="18" customHeight="1" x14ac:dyDescent="0.2">
      <c r="B20" s="8"/>
      <c r="C20" s="85"/>
      <c r="D20" s="86"/>
      <c r="E20" s="85"/>
      <c r="F20" s="86"/>
      <c r="G20" s="85"/>
      <c r="H20" s="86"/>
      <c r="I20" s="85"/>
      <c r="J20" s="94"/>
      <c r="K20" s="11"/>
      <c r="L20" s="17"/>
      <c r="M20" s="63"/>
      <c r="N20" s="64"/>
    </row>
    <row r="21" spans="2:14" ht="18" customHeight="1" x14ac:dyDescent="0.2">
      <c r="B21" s="6"/>
      <c r="C21" s="83"/>
      <c r="D21" s="84"/>
      <c r="E21" s="83"/>
      <c r="F21" s="84"/>
      <c r="G21" s="83"/>
      <c r="H21" s="84"/>
      <c r="I21" s="97"/>
      <c r="J21" s="98"/>
      <c r="K21" s="13"/>
      <c r="L21" s="19"/>
      <c r="M21" s="65"/>
      <c r="N21" s="66"/>
    </row>
    <row r="22" spans="2:14" ht="18" customHeight="1" x14ac:dyDescent="0.2">
      <c r="B22" s="8"/>
      <c r="C22" s="85"/>
      <c r="D22" s="86"/>
      <c r="E22" s="85"/>
      <c r="F22" s="86"/>
      <c r="G22" s="85"/>
      <c r="H22" s="86"/>
      <c r="I22" s="85"/>
      <c r="J22" s="94"/>
      <c r="K22" s="61" t="s">
        <v>15</v>
      </c>
      <c r="L22" s="16"/>
      <c r="M22" s="67"/>
      <c r="N22" s="68"/>
    </row>
    <row r="23" spans="2:14" ht="18" customHeight="1" x14ac:dyDescent="0.2">
      <c r="B23" s="6"/>
      <c r="C23" s="83"/>
      <c r="D23" s="84"/>
      <c r="E23" s="83"/>
      <c r="F23" s="84"/>
      <c r="G23" s="83"/>
      <c r="H23" s="84"/>
      <c r="I23" s="91"/>
      <c r="J23" s="92"/>
      <c r="K23" s="62"/>
      <c r="L23" s="17"/>
      <c r="M23" s="63"/>
      <c r="N23" s="64"/>
    </row>
    <row r="24" spans="2:14" ht="18" customHeight="1" x14ac:dyDescent="0.2">
      <c r="B24" s="8"/>
      <c r="C24" s="85"/>
      <c r="D24" s="86"/>
      <c r="E24" s="85"/>
      <c r="F24" s="86"/>
      <c r="G24" s="85"/>
      <c r="H24" s="86"/>
      <c r="I24" s="85"/>
      <c r="J24" s="94"/>
      <c r="K24" s="62"/>
      <c r="L24" s="17"/>
      <c r="M24" s="63"/>
      <c r="N24" s="64"/>
    </row>
    <row r="25" spans="2:14" ht="18" customHeight="1" x14ac:dyDescent="0.2">
      <c r="B25" s="6"/>
      <c r="C25" s="83"/>
      <c r="D25" s="84"/>
      <c r="E25" s="83"/>
      <c r="F25" s="84"/>
      <c r="G25" s="83"/>
      <c r="H25" s="84"/>
      <c r="I25" s="91"/>
      <c r="J25" s="92"/>
      <c r="K25" s="62"/>
      <c r="L25" s="17"/>
      <c r="M25" s="63"/>
      <c r="N25" s="64"/>
    </row>
    <row r="26" spans="2:14" ht="18" customHeight="1" x14ac:dyDescent="0.2">
      <c r="B26" s="8"/>
      <c r="C26" s="85"/>
      <c r="D26" s="86"/>
      <c r="E26" s="85"/>
      <c r="F26" s="86"/>
      <c r="G26" s="85"/>
      <c r="H26" s="86"/>
      <c r="I26" s="85"/>
      <c r="J26" s="94"/>
      <c r="K26" s="11"/>
      <c r="L26" s="17"/>
      <c r="M26" s="63"/>
      <c r="N26" s="64"/>
    </row>
    <row r="27" spans="2:14" ht="18" customHeight="1" x14ac:dyDescent="0.2">
      <c r="B27" s="6"/>
      <c r="C27" s="83"/>
      <c r="D27" s="84"/>
      <c r="E27" s="83"/>
      <c r="F27" s="84"/>
      <c r="G27" s="83"/>
      <c r="H27" s="84"/>
      <c r="I27" s="91"/>
      <c r="J27" s="92"/>
      <c r="K27" s="13"/>
      <c r="L27" s="19"/>
      <c r="M27" s="65"/>
      <c r="N27" s="66"/>
    </row>
    <row r="28" spans="2:14" ht="18" customHeight="1" x14ac:dyDescent="0.2">
      <c r="B28" s="8"/>
      <c r="C28" s="85"/>
      <c r="D28" s="86"/>
      <c r="E28" s="85"/>
      <c r="F28" s="86"/>
      <c r="G28" s="85"/>
      <c r="H28" s="86"/>
      <c r="I28" s="85"/>
      <c r="J28" s="94"/>
      <c r="K28" s="69" t="s">
        <v>16</v>
      </c>
      <c r="L28" s="16"/>
      <c r="M28" s="67"/>
      <c r="N28" s="68"/>
    </row>
    <row r="29" spans="2:14" ht="18" customHeight="1" x14ac:dyDescent="0.2">
      <c r="B29" s="6"/>
      <c r="C29" s="83"/>
      <c r="D29" s="84"/>
      <c r="E29" s="83"/>
      <c r="F29" s="84"/>
      <c r="G29" s="83"/>
      <c r="H29" s="84"/>
      <c r="I29" s="83"/>
      <c r="J29" s="99"/>
      <c r="K29" s="70"/>
      <c r="L29" s="17"/>
      <c r="M29" s="63"/>
      <c r="N29" s="64"/>
    </row>
    <row r="30" spans="2:14" ht="18" customHeight="1" x14ac:dyDescent="0.2">
      <c r="B30" s="8"/>
      <c r="C30" s="85"/>
      <c r="D30" s="86"/>
      <c r="E30" s="85"/>
      <c r="F30" s="86"/>
      <c r="G30" s="85"/>
      <c r="H30" s="86"/>
      <c r="I30" s="108"/>
      <c r="J30" s="109"/>
      <c r="K30" s="70"/>
      <c r="L30" s="17"/>
      <c r="M30" s="63"/>
      <c r="N30" s="64"/>
    </row>
    <row r="31" spans="2:14" ht="18" customHeight="1" x14ac:dyDescent="0.2">
      <c r="B31" s="6"/>
      <c r="C31" s="83"/>
      <c r="D31" s="84"/>
      <c r="E31" s="83"/>
      <c r="F31" s="84"/>
      <c r="G31" s="83"/>
      <c r="H31" s="84"/>
      <c r="I31" s="83"/>
      <c r="J31" s="99"/>
      <c r="K31" s="14"/>
      <c r="L31" s="17"/>
      <c r="M31" s="63"/>
      <c r="N31" s="64"/>
    </row>
    <row r="32" spans="2:14" ht="18" customHeight="1" x14ac:dyDescent="0.2">
      <c r="B32" s="8"/>
      <c r="C32" s="85"/>
      <c r="D32" s="86"/>
      <c r="E32" s="85"/>
      <c r="F32" s="86"/>
      <c r="G32" s="85"/>
      <c r="H32" s="86"/>
      <c r="I32" s="95"/>
      <c r="J32" s="96"/>
      <c r="K32" s="14"/>
      <c r="L32" s="17"/>
      <c r="M32" s="63"/>
      <c r="N32" s="64"/>
    </row>
    <row r="33" spans="2:14" ht="18" customHeight="1" x14ac:dyDescent="0.2">
      <c r="B33" s="7"/>
      <c r="C33" s="89"/>
      <c r="D33" s="90"/>
      <c r="E33" s="89"/>
      <c r="F33" s="90"/>
      <c r="G33" s="89"/>
      <c r="H33" s="90"/>
      <c r="I33" s="110"/>
      <c r="J33" s="111"/>
      <c r="K33" s="15"/>
      <c r="L33" s="20"/>
      <c r="M33" s="106"/>
      <c r="N33" s="107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9" priority="3" stopIfTrue="1">
      <formula>DAY(C4)&gt;8</formula>
    </cfRule>
  </conditionalFormatting>
  <conditionalFormatting sqref="C8:I10">
    <cfRule type="expression" dxfId="28" priority="2" stopIfTrue="1">
      <formula>AND(DAY(C8)&gt;=1,DAY(C8)&lt;=15)</formula>
    </cfRule>
  </conditionalFormatting>
  <conditionalFormatting sqref="C4:I9">
    <cfRule type="expression" dxfId="27" priority="4">
      <formula>VLOOKUP(DAY(C4),DíasDeTareas,1,FALSE)=DAY(C4)</formula>
    </cfRule>
  </conditionalFormatting>
  <conditionalFormatting sqref="B14:J33">
    <cfRule type="expression" dxfId="26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3" zoomScaleNormal="100" zoomScalePageLayoutView="84" workbookViewId="0">
      <selection activeCell="B29" sqref="B29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00" t="s">
        <v>21</v>
      </c>
      <c r="C2" s="21"/>
      <c r="D2" s="21"/>
      <c r="E2" s="21"/>
      <c r="F2" s="21"/>
      <c r="G2" s="21"/>
      <c r="H2" s="21"/>
      <c r="I2" s="21"/>
      <c r="J2" s="22"/>
      <c r="K2" s="74" t="s">
        <v>3</v>
      </c>
      <c r="L2" s="75">
        <v>2013</v>
      </c>
      <c r="M2" s="75"/>
      <c r="N2" s="25"/>
    </row>
    <row r="3" spans="1:14" ht="21" customHeight="1" x14ac:dyDescent="0.2">
      <c r="A3" s="4"/>
      <c r="B3" s="101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6"/>
      <c r="L3" s="77"/>
      <c r="M3" s="77"/>
      <c r="N3" s="26"/>
    </row>
    <row r="4" spans="1:14" ht="18" customHeight="1" x14ac:dyDescent="0.2">
      <c r="A4" s="4"/>
      <c r="B4" s="101"/>
      <c r="C4" s="10">
        <f>IF(DAY(JulDom1)=1,JulDom1-6,JulDom1+1)</f>
        <v>43276</v>
      </c>
      <c r="D4" s="10">
        <f>IF(DAY(JulDom1)=1,JulDom1-5,JulDom1+2)</f>
        <v>43277</v>
      </c>
      <c r="E4" s="10">
        <f>IF(DAY(JulDom1)=1,JulDom1-4,JulDom1+3)</f>
        <v>43278</v>
      </c>
      <c r="F4" s="10">
        <f>IF(DAY(JulDom1)=1,JulDom1-3,JulDom1+4)</f>
        <v>43279</v>
      </c>
      <c r="G4" s="10">
        <f>IF(DAY(JulDom1)=1,JulDom1-2,JulDom1+5)</f>
        <v>43280</v>
      </c>
      <c r="H4" s="10">
        <f>IF(DAY(JulDom1)=1,JulDom1-1,JulDom1+6)</f>
        <v>43281</v>
      </c>
      <c r="I4" s="10">
        <f>IF(DAY(JulDom1)=1,JulDom1,JulDom1+7)</f>
        <v>43282</v>
      </c>
      <c r="J4" s="5"/>
      <c r="K4" s="78" t="s">
        <v>12</v>
      </c>
      <c r="L4" s="16"/>
      <c r="M4" s="79"/>
      <c r="N4" s="80"/>
    </row>
    <row r="5" spans="1:14" ht="18" customHeight="1" x14ac:dyDescent="0.2">
      <c r="A5" s="4"/>
      <c r="B5" s="101"/>
      <c r="C5" s="10">
        <f>IF(DAY(JulDom1)=1,JulDom1+1,JulDom1+8)</f>
        <v>43283</v>
      </c>
      <c r="D5" s="10">
        <f>IF(DAY(JulDom1)=1,JulDom1+2,JulDom1+9)</f>
        <v>43284</v>
      </c>
      <c r="E5" s="10">
        <f>IF(DAY(JulDom1)=1,JulDom1+3,JulDom1+10)</f>
        <v>43285</v>
      </c>
      <c r="F5" s="10">
        <f>IF(DAY(JulDom1)=1,JulDom1+4,JulDom1+11)</f>
        <v>43286</v>
      </c>
      <c r="G5" s="10">
        <f>IF(DAY(JulDom1)=1,JulDom1+5,JulDom1+12)</f>
        <v>43287</v>
      </c>
      <c r="H5" s="10">
        <f>IF(DAY(JulDom1)=1,JulDom1+6,JulDom1+13)</f>
        <v>43288</v>
      </c>
      <c r="I5" s="10">
        <f>IF(DAY(JulDom1)=1,JulDom1+7,JulDom1+14)</f>
        <v>43289</v>
      </c>
      <c r="J5" s="5"/>
      <c r="K5" s="70"/>
      <c r="L5" s="17"/>
      <c r="M5" s="63"/>
      <c r="N5" s="64"/>
    </row>
    <row r="6" spans="1:14" ht="18" customHeight="1" x14ac:dyDescent="0.2">
      <c r="A6" s="4"/>
      <c r="B6" s="101"/>
      <c r="C6" s="10">
        <f>IF(DAY(JulDom1)=1,JulDom1+8,JulDom1+15)</f>
        <v>43290</v>
      </c>
      <c r="D6" s="10">
        <f>IF(DAY(JulDom1)=1,JulDom1+9,JulDom1+16)</f>
        <v>43291</v>
      </c>
      <c r="E6" s="10">
        <f>IF(DAY(JulDom1)=1,JulDom1+10,JulDom1+17)</f>
        <v>43292</v>
      </c>
      <c r="F6" s="10">
        <f>IF(DAY(JulDom1)=1,JulDom1+11,JulDom1+18)</f>
        <v>43293</v>
      </c>
      <c r="G6" s="10">
        <f>IF(DAY(JulDom1)=1,JulDom1+12,JulDom1+19)</f>
        <v>43294</v>
      </c>
      <c r="H6" s="10">
        <f>IF(DAY(JulDom1)=1,JulDom1+13,JulDom1+20)</f>
        <v>43295</v>
      </c>
      <c r="I6" s="10">
        <f>IF(DAY(JulDom1)=1,JulDom1+14,JulDom1+21)</f>
        <v>43296</v>
      </c>
      <c r="J6" s="5"/>
      <c r="K6" s="70"/>
      <c r="L6" s="17"/>
      <c r="M6" s="63"/>
      <c r="N6" s="64"/>
    </row>
    <row r="7" spans="1:14" ht="18" customHeight="1" x14ac:dyDescent="0.2">
      <c r="A7" s="4"/>
      <c r="B7" s="101"/>
      <c r="C7" s="10">
        <f>IF(DAY(JulDom1)=1,JulDom1+15,JulDom1+22)</f>
        <v>43297</v>
      </c>
      <c r="D7" s="10">
        <f>IF(DAY(JulDom1)=1,JulDom1+16,JulDom1+23)</f>
        <v>43298</v>
      </c>
      <c r="E7" s="10">
        <f>IF(DAY(JulDom1)=1,JulDom1+17,JulDom1+24)</f>
        <v>43299</v>
      </c>
      <c r="F7" s="10">
        <f>IF(DAY(JulDom1)=1,JulDom1+18,JulDom1+25)</f>
        <v>43300</v>
      </c>
      <c r="G7" s="10">
        <f>IF(DAY(JulDom1)=1,JulDom1+19,JulDom1+26)</f>
        <v>43301</v>
      </c>
      <c r="H7" s="10">
        <f>IF(DAY(JulDom1)=1,JulDom1+20,JulDom1+27)</f>
        <v>43302</v>
      </c>
      <c r="I7" s="10">
        <f>IF(DAY(JulDom1)=1,JulDom1+21,JulDom1+28)</f>
        <v>43303</v>
      </c>
      <c r="J7" s="5"/>
      <c r="K7" s="11"/>
      <c r="L7" s="17"/>
      <c r="M7" s="63"/>
      <c r="N7" s="64"/>
    </row>
    <row r="8" spans="1:14" ht="18.75" customHeight="1" x14ac:dyDescent="0.2">
      <c r="A8" s="4"/>
      <c r="B8" s="101"/>
      <c r="C8" s="10">
        <f>IF(DAY(JulDom1)=1,JulDom1+22,JulDom1+29)</f>
        <v>43304</v>
      </c>
      <c r="D8" s="10">
        <f>IF(DAY(JulDom1)=1,JulDom1+23,JulDom1+30)</f>
        <v>43305</v>
      </c>
      <c r="E8" s="10">
        <f>IF(DAY(JulDom1)=1,JulDom1+24,JulDom1+31)</f>
        <v>43306</v>
      </c>
      <c r="F8" s="10">
        <f>IF(DAY(JulDom1)=1,JulDom1+25,JulDom1+32)</f>
        <v>43307</v>
      </c>
      <c r="G8" s="10">
        <f>IF(DAY(JulDom1)=1,JulDom1+26,JulDom1+33)</f>
        <v>43308</v>
      </c>
      <c r="H8" s="10">
        <f>IF(DAY(JulDom1)=1,JulDom1+27,JulDom1+34)</f>
        <v>43309</v>
      </c>
      <c r="I8" s="10">
        <f>IF(DAY(JulDom1)=1,JulDom1+28,JulDom1+35)</f>
        <v>43310</v>
      </c>
      <c r="J8" s="5"/>
      <c r="K8" s="11"/>
      <c r="L8" s="17"/>
      <c r="M8" s="63"/>
      <c r="N8" s="64"/>
    </row>
    <row r="9" spans="1:14" ht="18" customHeight="1" x14ac:dyDescent="0.2">
      <c r="A9" s="4"/>
      <c r="B9" s="101"/>
      <c r="C9" s="10">
        <f>IF(DAY(JulDom1)=1,JulDom1+29,JulDom1+36)</f>
        <v>43311</v>
      </c>
      <c r="D9" s="10">
        <f>IF(DAY(JulDom1)=1,JulDom1+30,JulDom1+37)</f>
        <v>43312</v>
      </c>
      <c r="E9" s="10">
        <f>IF(DAY(JulDom1)=1,JulDom1+31,JulDom1+38)</f>
        <v>43313</v>
      </c>
      <c r="F9" s="10">
        <f>IF(DAY(JulDom1)=1,JulDom1+32,JulDom1+39)</f>
        <v>43314</v>
      </c>
      <c r="G9" s="10">
        <f>IF(DAY(JulDom1)=1,JulDom1+33,JulDom1+40)</f>
        <v>43315</v>
      </c>
      <c r="H9" s="10">
        <f>IF(DAY(JulDom1)=1,JulDom1+34,JulDom1+41)</f>
        <v>43316</v>
      </c>
      <c r="I9" s="10">
        <f>IF(DAY(JulDom1)=1,JulDom1+35,JulDom1+42)</f>
        <v>43317</v>
      </c>
      <c r="J9" s="5"/>
      <c r="K9" s="12"/>
      <c r="L9" s="18"/>
      <c r="M9" s="65"/>
      <c r="N9" s="66"/>
    </row>
    <row r="10" spans="1:14" ht="18" customHeight="1" x14ac:dyDescent="0.2">
      <c r="A10" s="4"/>
      <c r="B10" s="102"/>
      <c r="C10" s="23"/>
      <c r="D10" s="23"/>
      <c r="E10" s="23"/>
      <c r="F10" s="23"/>
      <c r="G10" s="23"/>
      <c r="H10" s="23"/>
      <c r="I10" s="23"/>
      <c r="J10" s="24"/>
      <c r="K10" s="69" t="s">
        <v>13</v>
      </c>
      <c r="L10" s="16"/>
      <c r="M10" s="67"/>
      <c r="N10" s="68"/>
    </row>
    <row r="11" spans="1:14" ht="18" customHeight="1" x14ac:dyDescent="0.2">
      <c r="A11" s="4"/>
      <c r="B11" s="103" t="s">
        <v>11</v>
      </c>
      <c r="C11" s="104"/>
      <c r="D11" s="104"/>
      <c r="E11" s="104"/>
      <c r="F11" s="104"/>
      <c r="G11" s="104"/>
      <c r="H11" s="104"/>
      <c r="I11" s="104"/>
      <c r="J11" s="105"/>
      <c r="K11" s="70"/>
      <c r="L11" s="17"/>
      <c r="M11" s="63"/>
      <c r="N11" s="64"/>
    </row>
    <row r="12" spans="1:14" ht="18" customHeight="1" x14ac:dyDescent="0.2">
      <c r="A12" s="4"/>
      <c r="B12" s="103"/>
      <c r="C12" s="104"/>
      <c r="D12" s="104"/>
      <c r="E12" s="104"/>
      <c r="F12" s="104"/>
      <c r="G12" s="104"/>
      <c r="H12" s="104"/>
      <c r="I12" s="104"/>
      <c r="J12" s="105"/>
      <c r="K12" s="70"/>
      <c r="L12" s="17"/>
      <c r="M12" s="63"/>
      <c r="N12" s="64"/>
    </row>
    <row r="13" spans="1:14" ht="18" customHeight="1" x14ac:dyDescent="0.2">
      <c r="B13" s="3" t="s">
        <v>12</v>
      </c>
      <c r="C13" s="71" t="s">
        <v>13</v>
      </c>
      <c r="D13" s="73"/>
      <c r="E13" s="71" t="s">
        <v>14</v>
      </c>
      <c r="F13" s="73"/>
      <c r="G13" s="71" t="s">
        <v>15</v>
      </c>
      <c r="H13" s="73"/>
      <c r="I13" s="71" t="s">
        <v>16</v>
      </c>
      <c r="J13" s="72"/>
      <c r="K13" s="11"/>
      <c r="L13" s="17"/>
      <c r="M13" s="63"/>
      <c r="N13" s="64"/>
    </row>
    <row r="14" spans="1:14" ht="18" customHeight="1" x14ac:dyDescent="0.2">
      <c r="B14" s="8"/>
      <c r="C14" s="85"/>
      <c r="D14" s="86"/>
      <c r="E14" s="85"/>
      <c r="F14" s="86"/>
      <c r="G14" s="85"/>
      <c r="H14" s="86"/>
      <c r="I14" s="85"/>
      <c r="J14" s="94"/>
      <c r="K14" s="11"/>
      <c r="L14" s="17"/>
      <c r="M14" s="63"/>
      <c r="N14" s="64"/>
    </row>
    <row r="15" spans="1:14" ht="18" customHeight="1" x14ac:dyDescent="0.2">
      <c r="B15" s="6"/>
      <c r="C15" s="83"/>
      <c r="D15" s="84"/>
      <c r="E15" s="83"/>
      <c r="F15" s="84"/>
      <c r="G15" s="83"/>
      <c r="H15" s="84"/>
      <c r="I15" s="91"/>
      <c r="J15" s="92"/>
      <c r="K15" s="13"/>
      <c r="L15" s="19"/>
      <c r="M15" s="65"/>
      <c r="N15" s="66"/>
    </row>
    <row r="16" spans="1:14" ht="18" customHeight="1" x14ac:dyDescent="0.2">
      <c r="B16" s="8"/>
      <c r="C16" s="85"/>
      <c r="D16" s="86"/>
      <c r="E16" s="85"/>
      <c r="F16" s="86"/>
      <c r="G16" s="85"/>
      <c r="H16" s="86"/>
      <c r="I16" s="95"/>
      <c r="J16" s="96"/>
      <c r="K16" s="61" t="s">
        <v>14</v>
      </c>
      <c r="L16" s="16"/>
      <c r="M16" s="67"/>
      <c r="N16" s="68"/>
    </row>
    <row r="17" spans="2:14" ht="18" customHeight="1" x14ac:dyDescent="0.2">
      <c r="B17" s="6"/>
      <c r="C17" s="83"/>
      <c r="D17" s="84"/>
      <c r="E17" s="83"/>
      <c r="F17" s="84"/>
      <c r="G17" s="83"/>
      <c r="H17" s="84"/>
      <c r="I17" s="91"/>
      <c r="J17" s="92"/>
      <c r="K17" s="62"/>
      <c r="L17" s="17"/>
      <c r="M17" s="63"/>
      <c r="N17" s="64"/>
    </row>
    <row r="18" spans="2:14" ht="18" customHeight="1" x14ac:dyDescent="0.2">
      <c r="B18" s="9"/>
      <c r="C18" s="87"/>
      <c r="D18" s="88"/>
      <c r="E18" s="87"/>
      <c r="F18" s="88"/>
      <c r="G18" s="87"/>
      <c r="H18" s="88"/>
      <c r="I18" s="87"/>
      <c r="J18" s="93"/>
      <c r="K18" s="62"/>
      <c r="L18" s="17"/>
      <c r="M18" s="63"/>
      <c r="N18" s="64"/>
    </row>
    <row r="19" spans="2:14" ht="18" customHeight="1" x14ac:dyDescent="0.2">
      <c r="B19" s="6"/>
      <c r="C19" s="83"/>
      <c r="D19" s="84"/>
      <c r="E19" s="83"/>
      <c r="F19" s="84"/>
      <c r="G19" s="83"/>
      <c r="H19" s="84"/>
      <c r="I19" s="91"/>
      <c r="J19" s="92"/>
      <c r="K19" s="11"/>
      <c r="L19" s="17"/>
      <c r="M19" s="63"/>
      <c r="N19" s="64"/>
    </row>
    <row r="20" spans="2:14" ht="18" customHeight="1" x14ac:dyDescent="0.2">
      <c r="B20" s="8"/>
      <c r="C20" s="85"/>
      <c r="D20" s="86"/>
      <c r="E20" s="85"/>
      <c r="F20" s="86"/>
      <c r="G20" s="85"/>
      <c r="H20" s="86"/>
      <c r="I20" s="85"/>
      <c r="J20" s="94"/>
      <c r="K20" s="11"/>
      <c r="L20" s="17"/>
      <c r="M20" s="63"/>
      <c r="N20" s="64"/>
    </row>
    <row r="21" spans="2:14" ht="18" customHeight="1" x14ac:dyDescent="0.2">
      <c r="B21" s="6"/>
      <c r="C21" s="83"/>
      <c r="D21" s="84"/>
      <c r="E21" s="83"/>
      <c r="F21" s="84"/>
      <c r="G21" s="83"/>
      <c r="H21" s="84"/>
      <c r="I21" s="97"/>
      <c r="J21" s="98"/>
      <c r="K21" s="13"/>
      <c r="L21" s="19"/>
      <c r="M21" s="65"/>
      <c r="N21" s="66"/>
    </row>
    <row r="22" spans="2:14" ht="18" customHeight="1" x14ac:dyDescent="0.2">
      <c r="B22" s="8"/>
      <c r="C22" s="85"/>
      <c r="D22" s="86"/>
      <c r="E22" s="85"/>
      <c r="F22" s="86"/>
      <c r="G22" s="85"/>
      <c r="H22" s="86"/>
      <c r="I22" s="85"/>
      <c r="J22" s="94"/>
      <c r="K22" s="61" t="s">
        <v>15</v>
      </c>
      <c r="L22" s="16"/>
      <c r="M22" s="67"/>
      <c r="N22" s="68"/>
    </row>
    <row r="23" spans="2:14" ht="18" customHeight="1" x14ac:dyDescent="0.2">
      <c r="B23" s="6"/>
      <c r="C23" s="83"/>
      <c r="D23" s="84"/>
      <c r="E23" s="83"/>
      <c r="F23" s="84"/>
      <c r="G23" s="83"/>
      <c r="H23" s="84"/>
      <c r="I23" s="91"/>
      <c r="J23" s="92"/>
      <c r="K23" s="62"/>
      <c r="L23" s="17"/>
      <c r="M23" s="63"/>
      <c r="N23" s="64"/>
    </row>
    <row r="24" spans="2:14" ht="18" customHeight="1" x14ac:dyDescent="0.2">
      <c r="B24" s="8"/>
      <c r="C24" s="85"/>
      <c r="D24" s="86"/>
      <c r="E24" s="85"/>
      <c r="F24" s="86"/>
      <c r="G24" s="85"/>
      <c r="H24" s="86"/>
      <c r="I24" s="85"/>
      <c r="J24" s="94"/>
      <c r="K24" s="62"/>
      <c r="L24" s="17"/>
      <c r="M24" s="63"/>
      <c r="N24" s="64"/>
    </row>
    <row r="25" spans="2:14" ht="18" customHeight="1" x14ac:dyDescent="0.2">
      <c r="B25" s="6"/>
      <c r="C25" s="83"/>
      <c r="D25" s="84"/>
      <c r="E25" s="83"/>
      <c r="F25" s="84"/>
      <c r="G25" s="83"/>
      <c r="H25" s="84"/>
      <c r="I25" s="91"/>
      <c r="J25" s="92"/>
      <c r="K25" s="62"/>
      <c r="L25" s="17"/>
      <c r="M25" s="63"/>
      <c r="N25" s="64"/>
    </row>
    <row r="26" spans="2:14" ht="18" customHeight="1" x14ac:dyDescent="0.2">
      <c r="B26" s="8"/>
      <c r="C26" s="85"/>
      <c r="D26" s="86"/>
      <c r="E26" s="85"/>
      <c r="F26" s="86"/>
      <c r="G26" s="85"/>
      <c r="H26" s="86"/>
      <c r="I26" s="85"/>
      <c r="J26" s="94"/>
      <c r="K26" s="11"/>
      <c r="L26" s="17"/>
      <c r="M26" s="63"/>
      <c r="N26" s="64"/>
    </row>
    <row r="27" spans="2:14" ht="18" customHeight="1" x14ac:dyDescent="0.2">
      <c r="B27" s="6"/>
      <c r="C27" s="83"/>
      <c r="D27" s="84"/>
      <c r="E27" s="83"/>
      <c r="F27" s="84"/>
      <c r="G27" s="83"/>
      <c r="H27" s="84"/>
      <c r="I27" s="91"/>
      <c r="J27" s="92"/>
      <c r="K27" s="13"/>
      <c r="L27" s="19"/>
      <c r="M27" s="65"/>
      <c r="N27" s="66"/>
    </row>
    <row r="28" spans="2:14" ht="18" customHeight="1" x14ac:dyDescent="0.2">
      <c r="B28" s="8"/>
      <c r="C28" s="85"/>
      <c r="D28" s="86"/>
      <c r="E28" s="85"/>
      <c r="F28" s="86"/>
      <c r="G28" s="85"/>
      <c r="H28" s="86"/>
      <c r="I28" s="85"/>
      <c r="J28" s="94"/>
      <c r="K28" s="69" t="s">
        <v>16</v>
      </c>
      <c r="L28" s="16"/>
      <c r="M28" s="67"/>
      <c r="N28" s="68"/>
    </row>
    <row r="29" spans="2:14" ht="18" customHeight="1" x14ac:dyDescent="0.2">
      <c r="B29" s="6"/>
      <c r="C29" s="83"/>
      <c r="D29" s="84"/>
      <c r="E29" s="83"/>
      <c r="F29" s="84"/>
      <c r="G29" s="83"/>
      <c r="H29" s="84"/>
      <c r="I29" s="83"/>
      <c r="J29" s="99"/>
      <c r="K29" s="70"/>
      <c r="L29" s="17"/>
      <c r="M29" s="63"/>
      <c r="N29" s="64"/>
    </row>
    <row r="30" spans="2:14" ht="18" customHeight="1" x14ac:dyDescent="0.2">
      <c r="B30" s="8"/>
      <c r="C30" s="85"/>
      <c r="D30" s="86"/>
      <c r="E30" s="85"/>
      <c r="F30" s="86"/>
      <c r="G30" s="85"/>
      <c r="H30" s="86"/>
      <c r="I30" s="108"/>
      <c r="J30" s="109"/>
      <c r="K30" s="70"/>
      <c r="L30" s="17"/>
      <c r="M30" s="63"/>
      <c r="N30" s="64"/>
    </row>
    <row r="31" spans="2:14" ht="18" customHeight="1" x14ac:dyDescent="0.2">
      <c r="B31" s="6"/>
      <c r="C31" s="83"/>
      <c r="D31" s="84"/>
      <c r="E31" s="83"/>
      <c r="F31" s="84"/>
      <c r="G31" s="83"/>
      <c r="H31" s="84"/>
      <c r="I31" s="83"/>
      <c r="J31" s="99"/>
      <c r="K31" s="14"/>
      <c r="L31" s="17"/>
      <c r="M31" s="63"/>
      <c r="N31" s="64"/>
    </row>
    <row r="32" spans="2:14" ht="18" customHeight="1" x14ac:dyDescent="0.2">
      <c r="B32" s="8"/>
      <c r="C32" s="85"/>
      <c r="D32" s="86"/>
      <c r="E32" s="85"/>
      <c r="F32" s="86"/>
      <c r="G32" s="85"/>
      <c r="H32" s="86"/>
      <c r="I32" s="95"/>
      <c r="J32" s="96"/>
      <c r="K32" s="14"/>
      <c r="L32" s="17"/>
      <c r="M32" s="63"/>
      <c r="N32" s="64"/>
    </row>
    <row r="33" spans="2:14" ht="18" customHeight="1" x14ac:dyDescent="0.2">
      <c r="B33" s="7"/>
      <c r="C33" s="89"/>
      <c r="D33" s="90"/>
      <c r="E33" s="89"/>
      <c r="F33" s="90"/>
      <c r="G33" s="89"/>
      <c r="H33" s="90"/>
      <c r="I33" s="110"/>
      <c r="J33" s="111"/>
      <c r="K33" s="15"/>
      <c r="L33" s="20"/>
      <c r="M33" s="106"/>
      <c r="N33" s="107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5" priority="3" stopIfTrue="1">
      <formula>DAY(C4)&gt;8</formula>
    </cfRule>
  </conditionalFormatting>
  <conditionalFormatting sqref="C8:I10">
    <cfRule type="expression" dxfId="24" priority="2" stopIfTrue="1">
      <formula>AND(DAY(C8)&gt;=1,DAY(C8)&lt;=15)</formula>
    </cfRule>
  </conditionalFormatting>
  <conditionalFormatting sqref="C4:I9">
    <cfRule type="expression" dxfId="23" priority="4">
      <formula>VLOOKUP(DAY(C4),DíasDeTareas,1,FALSE)=DAY(C4)</formula>
    </cfRule>
  </conditionalFormatting>
  <conditionalFormatting sqref="B14:J33">
    <cfRule type="expression" dxfId="2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B14" sqref="B14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100" t="s">
        <v>20</v>
      </c>
      <c r="C2" s="21"/>
      <c r="D2" s="21"/>
      <c r="E2" s="21"/>
      <c r="F2" s="21"/>
      <c r="G2" s="21"/>
      <c r="H2" s="21"/>
      <c r="I2" s="21"/>
      <c r="J2" s="22"/>
      <c r="K2" s="74" t="s">
        <v>3</v>
      </c>
      <c r="L2" s="75">
        <v>2013</v>
      </c>
      <c r="M2" s="75"/>
      <c r="N2" s="25"/>
    </row>
    <row r="3" spans="1:14" ht="21" customHeight="1" x14ac:dyDescent="0.2">
      <c r="A3" s="4"/>
      <c r="B3" s="101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6"/>
      <c r="L3" s="77"/>
      <c r="M3" s="77"/>
      <c r="N3" s="26"/>
    </row>
    <row r="4" spans="1:14" ht="18" customHeight="1" x14ac:dyDescent="0.2">
      <c r="A4" s="4"/>
      <c r="B4" s="101"/>
      <c r="C4" s="10">
        <f>IF(DAY(AgoDom1)=1,AgoDom1-6,AgoDom1+1)</f>
        <v>43311</v>
      </c>
      <c r="D4" s="10">
        <f>IF(DAY(AgoDom1)=1,AgoDom1-5,AgoDom1+2)</f>
        <v>43312</v>
      </c>
      <c r="E4" s="10">
        <f>IF(DAY(AgoDom1)=1,AgoDom1-4,AgoDom1+3)</f>
        <v>43313</v>
      </c>
      <c r="F4" s="10">
        <f>IF(DAY(AgoDom1)=1,AgoDom1-3,AgoDom1+4)</f>
        <v>43314</v>
      </c>
      <c r="G4" s="10">
        <f>IF(DAY(AgoDom1)=1,AgoDom1-2,AgoDom1+5)</f>
        <v>43315</v>
      </c>
      <c r="H4" s="10">
        <f>IF(DAY(AgoDom1)=1,AgoDom1-1,AgoDom1+6)</f>
        <v>43316</v>
      </c>
      <c r="I4" s="10">
        <f>IF(DAY(AgoDom1)=1,AgoDom1,AgoDom1+7)</f>
        <v>43317</v>
      </c>
      <c r="J4" s="5"/>
      <c r="K4" s="78" t="s">
        <v>12</v>
      </c>
      <c r="L4" s="16"/>
      <c r="M4" s="79"/>
      <c r="N4" s="80"/>
    </row>
    <row r="5" spans="1:14" ht="18" customHeight="1" x14ac:dyDescent="0.2">
      <c r="A5" s="4"/>
      <c r="B5" s="101"/>
      <c r="C5" s="10">
        <f>IF(DAY(AgoDom1)=1,AgoDom1+1,AgoDom1+8)</f>
        <v>43318</v>
      </c>
      <c r="D5" s="10">
        <f>IF(DAY(AgoDom1)=1,AgoDom1+2,AgoDom1+9)</f>
        <v>43319</v>
      </c>
      <c r="E5" s="10">
        <f>IF(DAY(AgoDom1)=1,AgoDom1+3,AgoDom1+10)</f>
        <v>43320</v>
      </c>
      <c r="F5" s="10">
        <f>IF(DAY(AgoDom1)=1,AgoDom1+4,AgoDom1+11)</f>
        <v>43321</v>
      </c>
      <c r="G5" s="10">
        <f>IF(DAY(AgoDom1)=1,AgoDom1+5,AgoDom1+12)</f>
        <v>43322</v>
      </c>
      <c r="H5" s="10">
        <f>IF(DAY(AgoDom1)=1,AgoDom1+6,AgoDom1+13)</f>
        <v>43323</v>
      </c>
      <c r="I5" s="10">
        <f>IF(DAY(AgoDom1)=1,AgoDom1+7,AgoDom1+14)</f>
        <v>43324</v>
      </c>
      <c r="J5" s="5"/>
      <c r="K5" s="70"/>
      <c r="L5" s="17"/>
      <c r="M5" s="63"/>
      <c r="N5" s="64"/>
    </row>
    <row r="6" spans="1:14" ht="18" customHeight="1" x14ac:dyDescent="0.2">
      <c r="A6" s="4"/>
      <c r="B6" s="101"/>
      <c r="C6" s="10">
        <f>IF(DAY(AgoDom1)=1,AgoDom1+8,AgoDom1+15)</f>
        <v>43325</v>
      </c>
      <c r="D6" s="10">
        <f>IF(DAY(AgoDom1)=1,AgoDom1+9,AgoDom1+16)</f>
        <v>43326</v>
      </c>
      <c r="E6" s="10">
        <f>IF(DAY(AgoDom1)=1,AgoDom1+10,AgoDom1+17)</f>
        <v>43327</v>
      </c>
      <c r="F6" s="10">
        <f>IF(DAY(AgoDom1)=1,AgoDom1+11,AgoDom1+18)</f>
        <v>43328</v>
      </c>
      <c r="G6" s="10">
        <f>IF(DAY(AgoDom1)=1,AgoDom1+12,AgoDom1+19)</f>
        <v>43329</v>
      </c>
      <c r="H6" s="10">
        <f>IF(DAY(AgoDom1)=1,AgoDom1+13,AgoDom1+20)</f>
        <v>43330</v>
      </c>
      <c r="I6" s="10">
        <f>IF(DAY(AgoDom1)=1,AgoDom1+14,AgoDom1+21)</f>
        <v>43331</v>
      </c>
      <c r="J6" s="5"/>
      <c r="K6" s="70"/>
      <c r="L6" s="17"/>
      <c r="M6" s="63"/>
      <c r="N6" s="64"/>
    </row>
    <row r="7" spans="1:14" ht="18" customHeight="1" x14ac:dyDescent="0.2">
      <c r="A7" s="4"/>
      <c r="B7" s="101"/>
      <c r="C7" s="10">
        <f>IF(DAY(AgoDom1)=1,AgoDom1+15,AgoDom1+22)</f>
        <v>43332</v>
      </c>
      <c r="D7" s="10">
        <f>IF(DAY(AgoDom1)=1,AgoDom1+16,AgoDom1+23)</f>
        <v>43333</v>
      </c>
      <c r="E7" s="10">
        <f>IF(DAY(AgoDom1)=1,AgoDom1+17,AgoDom1+24)</f>
        <v>43334</v>
      </c>
      <c r="F7" s="10">
        <f>IF(DAY(AgoDom1)=1,AgoDom1+18,AgoDom1+25)</f>
        <v>43335</v>
      </c>
      <c r="G7" s="10">
        <f>IF(DAY(AgoDom1)=1,AgoDom1+19,AgoDom1+26)</f>
        <v>43336</v>
      </c>
      <c r="H7" s="10">
        <f>IF(DAY(AgoDom1)=1,AgoDom1+20,AgoDom1+27)</f>
        <v>43337</v>
      </c>
      <c r="I7" s="10">
        <f>IF(DAY(AgoDom1)=1,AgoDom1+21,AgoDom1+28)</f>
        <v>43338</v>
      </c>
      <c r="J7" s="5"/>
      <c r="K7" s="11"/>
      <c r="L7" s="17"/>
      <c r="M7" s="63"/>
      <c r="N7" s="64"/>
    </row>
    <row r="8" spans="1:14" ht="18.75" customHeight="1" x14ac:dyDescent="0.2">
      <c r="A8" s="4"/>
      <c r="B8" s="101"/>
      <c r="C8" s="10">
        <f>IF(DAY(AgoDom1)=1,AgoDom1+22,AgoDom1+29)</f>
        <v>43339</v>
      </c>
      <c r="D8" s="10">
        <f>IF(DAY(AgoDom1)=1,AgoDom1+23,AgoDom1+30)</f>
        <v>43340</v>
      </c>
      <c r="E8" s="10">
        <f>IF(DAY(AgoDom1)=1,AgoDom1+24,AgoDom1+31)</f>
        <v>43341</v>
      </c>
      <c r="F8" s="10">
        <f>IF(DAY(AgoDom1)=1,AgoDom1+25,AgoDom1+32)</f>
        <v>43342</v>
      </c>
      <c r="G8" s="10">
        <f>IF(DAY(AgoDom1)=1,AgoDom1+26,AgoDom1+33)</f>
        <v>43343</v>
      </c>
      <c r="H8" s="10">
        <f>IF(DAY(AgoDom1)=1,AgoDom1+27,AgoDom1+34)</f>
        <v>43344</v>
      </c>
      <c r="I8" s="10">
        <f>IF(DAY(AgoDom1)=1,AgoDom1+28,AgoDom1+35)</f>
        <v>43345</v>
      </c>
      <c r="J8" s="5"/>
      <c r="K8" s="11"/>
      <c r="L8" s="17"/>
      <c r="M8" s="63"/>
      <c r="N8" s="64"/>
    </row>
    <row r="9" spans="1:14" ht="18" customHeight="1" x14ac:dyDescent="0.2">
      <c r="A9" s="4"/>
      <c r="B9" s="101"/>
      <c r="C9" s="10">
        <f>IF(DAY(AgoDom1)=1,AgoDom1+29,AgoDom1+36)</f>
        <v>43346</v>
      </c>
      <c r="D9" s="10">
        <f>IF(DAY(AgoDom1)=1,AgoDom1+30,AgoDom1+37)</f>
        <v>43347</v>
      </c>
      <c r="E9" s="10">
        <f>IF(DAY(AgoDom1)=1,AgoDom1+31,AgoDom1+38)</f>
        <v>43348</v>
      </c>
      <c r="F9" s="10">
        <f>IF(DAY(AgoDom1)=1,AgoDom1+32,AgoDom1+39)</f>
        <v>43349</v>
      </c>
      <c r="G9" s="10">
        <f>IF(DAY(AgoDom1)=1,AgoDom1+33,AgoDom1+40)</f>
        <v>43350</v>
      </c>
      <c r="H9" s="10">
        <f>IF(DAY(AgoDom1)=1,AgoDom1+34,AgoDom1+41)</f>
        <v>43351</v>
      </c>
      <c r="I9" s="10">
        <f>IF(DAY(AgoDom1)=1,AgoDom1+35,AgoDom1+42)</f>
        <v>43352</v>
      </c>
      <c r="J9" s="5"/>
      <c r="K9" s="12"/>
      <c r="L9" s="18"/>
      <c r="M9" s="65"/>
      <c r="N9" s="66"/>
    </row>
    <row r="10" spans="1:14" ht="18" customHeight="1" x14ac:dyDescent="0.2">
      <c r="A10" s="4"/>
      <c r="B10" s="102"/>
      <c r="C10" s="23"/>
      <c r="D10" s="23"/>
      <c r="E10" s="23"/>
      <c r="F10" s="23"/>
      <c r="G10" s="23"/>
      <c r="H10" s="23"/>
      <c r="I10" s="23"/>
      <c r="J10" s="24"/>
      <c r="K10" s="69" t="s">
        <v>13</v>
      </c>
      <c r="L10" s="16"/>
      <c r="M10" s="67"/>
      <c r="N10" s="68"/>
    </row>
    <row r="11" spans="1:14" ht="18" customHeight="1" x14ac:dyDescent="0.2">
      <c r="A11" s="4"/>
      <c r="B11" s="103" t="s">
        <v>11</v>
      </c>
      <c r="C11" s="104"/>
      <c r="D11" s="104"/>
      <c r="E11" s="104"/>
      <c r="F11" s="104"/>
      <c r="G11" s="104"/>
      <c r="H11" s="104"/>
      <c r="I11" s="104"/>
      <c r="J11" s="105"/>
      <c r="K11" s="70"/>
      <c r="L11" s="17"/>
      <c r="M11" s="63"/>
      <c r="N11" s="64"/>
    </row>
    <row r="12" spans="1:14" ht="18" customHeight="1" x14ac:dyDescent="0.2">
      <c r="A12" s="4"/>
      <c r="B12" s="103"/>
      <c r="C12" s="104"/>
      <c r="D12" s="104"/>
      <c r="E12" s="104"/>
      <c r="F12" s="104"/>
      <c r="G12" s="104"/>
      <c r="H12" s="104"/>
      <c r="I12" s="104"/>
      <c r="J12" s="105"/>
      <c r="K12" s="70"/>
      <c r="L12" s="17"/>
      <c r="M12" s="63"/>
      <c r="N12" s="64"/>
    </row>
    <row r="13" spans="1:14" ht="18" customHeight="1" x14ac:dyDescent="0.2">
      <c r="B13" s="3" t="s">
        <v>12</v>
      </c>
      <c r="C13" s="71" t="s">
        <v>13</v>
      </c>
      <c r="D13" s="73"/>
      <c r="E13" s="71" t="s">
        <v>14</v>
      </c>
      <c r="F13" s="73"/>
      <c r="G13" s="71" t="s">
        <v>15</v>
      </c>
      <c r="H13" s="73"/>
      <c r="I13" s="71" t="s">
        <v>16</v>
      </c>
      <c r="J13" s="72"/>
      <c r="K13" s="11"/>
      <c r="L13" s="17"/>
      <c r="M13" s="63"/>
      <c r="N13" s="64"/>
    </row>
    <row r="14" spans="1:14" ht="18" customHeight="1" x14ac:dyDescent="0.2">
      <c r="B14" s="8"/>
      <c r="C14" s="85"/>
      <c r="D14" s="86"/>
      <c r="E14" s="85"/>
      <c r="F14" s="86"/>
      <c r="G14" s="85"/>
      <c r="H14" s="86"/>
      <c r="I14" s="85"/>
      <c r="J14" s="94"/>
      <c r="K14" s="11"/>
      <c r="L14" s="17"/>
      <c r="M14" s="63"/>
      <c r="N14" s="64"/>
    </row>
    <row r="15" spans="1:14" ht="18" customHeight="1" x14ac:dyDescent="0.2">
      <c r="B15" s="6"/>
      <c r="C15" s="83"/>
      <c r="D15" s="84"/>
      <c r="E15" s="83"/>
      <c r="F15" s="84"/>
      <c r="G15" s="83"/>
      <c r="H15" s="84"/>
      <c r="I15" s="91"/>
      <c r="J15" s="92"/>
      <c r="K15" s="13"/>
      <c r="L15" s="19"/>
      <c r="M15" s="65"/>
      <c r="N15" s="66"/>
    </row>
    <row r="16" spans="1:14" ht="18" customHeight="1" x14ac:dyDescent="0.2">
      <c r="B16" s="8"/>
      <c r="C16" s="85"/>
      <c r="D16" s="86"/>
      <c r="E16" s="85"/>
      <c r="F16" s="86"/>
      <c r="G16" s="85"/>
      <c r="H16" s="86"/>
      <c r="I16" s="95"/>
      <c r="J16" s="96"/>
      <c r="K16" s="61" t="s">
        <v>14</v>
      </c>
      <c r="L16" s="16"/>
      <c r="M16" s="67"/>
      <c r="N16" s="68"/>
    </row>
    <row r="17" spans="2:14" ht="18" customHeight="1" x14ac:dyDescent="0.2">
      <c r="B17" s="6"/>
      <c r="C17" s="83"/>
      <c r="D17" s="84"/>
      <c r="E17" s="83"/>
      <c r="F17" s="84"/>
      <c r="G17" s="83"/>
      <c r="H17" s="84"/>
      <c r="I17" s="91"/>
      <c r="J17" s="92"/>
      <c r="K17" s="62"/>
      <c r="L17" s="17"/>
      <c r="M17" s="63"/>
      <c r="N17" s="64"/>
    </row>
    <row r="18" spans="2:14" ht="18" customHeight="1" x14ac:dyDescent="0.2">
      <c r="B18" s="9"/>
      <c r="C18" s="87"/>
      <c r="D18" s="88"/>
      <c r="E18" s="87"/>
      <c r="F18" s="88"/>
      <c r="G18" s="87"/>
      <c r="H18" s="88"/>
      <c r="I18" s="87"/>
      <c r="J18" s="93"/>
      <c r="K18" s="62"/>
      <c r="L18" s="17"/>
      <c r="M18" s="63"/>
      <c r="N18" s="64"/>
    </row>
    <row r="19" spans="2:14" ht="18" customHeight="1" x14ac:dyDescent="0.2">
      <c r="B19" s="6"/>
      <c r="C19" s="83"/>
      <c r="D19" s="84"/>
      <c r="E19" s="83"/>
      <c r="F19" s="84"/>
      <c r="G19" s="83"/>
      <c r="H19" s="84"/>
      <c r="I19" s="91"/>
      <c r="J19" s="92"/>
      <c r="K19" s="11"/>
      <c r="L19" s="17"/>
      <c r="M19" s="63"/>
      <c r="N19" s="64"/>
    </row>
    <row r="20" spans="2:14" ht="18" customHeight="1" x14ac:dyDescent="0.2">
      <c r="B20" s="8"/>
      <c r="C20" s="85"/>
      <c r="D20" s="86"/>
      <c r="E20" s="85"/>
      <c r="F20" s="86"/>
      <c r="G20" s="85"/>
      <c r="H20" s="86"/>
      <c r="I20" s="85"/>
      <c r="J20" s="94"/>
      <c r="K20" s="11"/>
      <c r="L20" s="17"/>
      <c r="M20" s="63"/>
      <c r="N20" s="64"/>
    </row>
    <row r="21" spans="2:14" ht="18" customHeight="1" x14ac:dyDescent="0.2">
      <c r="B21" s="6"/>
      <c r="C21" s="83"/>
      <c r="D21" s="84"/>
      <c r="E21" s="83"/>
      <c r="F21" s="84"/>
      <c r="G21" s="83"/>
      <c r="H21" s="84"/>
      <c r="I21" s="97"/>
      <c r="J21" s="98"/>
      <c r="K21" s="13"/>
      <c r="L21" s="19"/>
      <c r="M21" s="65"/>
      <c r="N21" s="66"/>
    </row>
    <row r="22" spans="2:14" ht="18" customHeight="1" x14ac:dyDescent="0.2">
      <c r="B22" s="8"/>
      <c r="C22" s="85"/>
      <c r="D22" s="86"/>
      <c r="E22" s="85"/>
      <c r="F22" s="86"/>
      <c r="G22" s="85"/>
      <c r="H22" s="86"/>
      <c r="I22" s="85"/>
      <c r="J22" s="94"/>
      <c r="K22" s="61" t="s">
        <v>15</v>
      </c>
      <c r="L22" s="16"/>
      <c r="M22" s="67"/>
      <c r="N22" s="68"/>
    </row>
    <row r="23" spans="2:14" ht="18" customHeight="1" x14ac:dyDescent="0.2">
      <c r="B23" s="6"/>
      <c r="C23" s="83"/>
      <c r="D23" s="84"/>
      <c r="E23" s="83"/>
      <c r="F23" s="84"/>
      <c r="G23" s="83"/>
      <c r="H23" s="84"/>
      <c r="I23" s="91"/>
      <c r="J23" s="92"/>
      <c r="K23" s="62"/>
      <c r="L23" s="17"/>
      <c r="M23" s="63"/>
      <c r="N23" s="64"/>
    </row>
    <row r="24" spans="2:14" ht="18" customHeight="1" x14ac:dyDescent="0.2">
      <c r="B24" s="8"/>
      <c r="C24" s="85"/>
      <c r="D24" s="86"/>
      <c r="E24" s="85"/>
      <c r="F24" s="86"/>
      <c r="G24" s="85"/>
      <c r="H24" s="86"/>
      <c r="I24" s="85"/>
      <c r="J24" s="94"/>
      <c r="K24" s="62"/>
      <c r="L24" s="17"/>
      <c r="M24" s="63"/>
      <c r="N24" s="64"/>
    </row>
    <row r="25" spans="2:14" ht="18" customHeight="1" x14ac:dyDescent="0.2">
      <c r="B25" s="6"/>
      <c r="C25" s="83"/>
      <c r="D25" s="84"/>
      <c r="E25" s="83"/>
      <c r="F25" s="84"/>
      <c r="G25" s="83"/>
      <c r="H25" s="84"/>
      <c r="I25" s="91"/>
      <c r="J25" s="92"/>
      <c r="K25" s="62"/>
      <c r="L25" s="17"/>
      <c r="M25" s="63"/>
      <c r="N25" s="64"/>
    </row>
    <row r="26" spans="2:14" ht="18" customHeight="1" x14ac:dyDescent="0.2">
      <c r="B26" s="8"/>
      <c r="C26" s="85"/>
      <c r="D26" s="86"/>
      <c r="E26" s="85"/>
      <c r="F26" s="86"/>
      <c r="G26" s="85"/>
      <c r="H26" s="86"/>
      <c r="I26" s="85"/>
      <c r="J26" s="94"/>
      <c r="K26" s="11"/>
      <c r="L26" s="17"/>
      <c r="M26" s="63"/>
      <c r="N26" s="64"/>
    </row>
    <row r="27" spans="2:14" ht="18" customHeight="1" x14ac:dyDescent="0.2">
      <c r="B27" s="6"/>
      <c r="C27" s="83"/>
      <c r="D27" s="84"/>
      <c r="E27" s="83"/>
      <c r="F27" s="84"/>
      <c r="G27" s="83"/>
      <c r="H27" s="84"/>
      <c r="I27" s="91"/>
      <c r="J27" s="92"/>
      <c r="K27" s="13"/>
      <c r="L27" s="19"/>
      <c r="M27" s="65"/>
      <c r="N27" s="66"/>
    </row>
    <row r="28" spans="2:14" ht="18" customHeight="1" x14ac:dyDescent="0.2">
      <c r="B28" s="8"/>
      <c r="C28" s="85"/>
      <c r="D28" s="86"/>
      <c r="E28" s="85"/>
      <c r="F28" s="86"/>
      <c r="G28" s="85"/>
      <c r="H28" s="86"/>
      <c r="I28" s="85"/>
      <c r="J28" s="94"/>
      <c r="K28" s="69" t="s">
        <v>16</v>
      </c>
      <c r="L28" s="16"/>
      <c r="M28" s="67"/>
      <c r="N28" s="68"/>
    </row>
    <row r="29" spans="2:14" ht="18" customHeight="1" x14ac:dyDescent="0.2">
      <c r="B29" s="6"/>
      <c r="C29" s="83"/>
      <c r="D29" s="84"/>
      <c r="E29" s="83"/>
      <c r="F29" s="84"/>
      <c r="G29" s="83"/>
      <c r="H29" s="84"/>
      <c r="I29" s="83"/>
      <c r="J29" s="99"/>
      <c r="K29" s="70"/>
      <c r="L29" s="17"/>
      <c r="M29" s="63"/>
      <c r="N29" s="64"/>
    </row>
    <row r="30" spans="2:14" ht="18" customHeight="1" x14ac:dyDescent="0.2">
      <c r="B30" s="8"/>
      <c r="C30" s="85"/>
      <c r="D30" s="86"/>
      <c r="E30" s="85"/>
      <c r="F30" s="86"/>
      <c r="G30" s="85"/>
      <c r="H30" s="86"/>
      <c r="I30" s="108"/>
      <c r="J30" s="109"/>
      <c r="K30" s="70"/>
      <c r="L30" s="17"/>
      <c r="M30" s="63"/>
      <c r="N30" s="64"/>
    </row>
    <row r="31" spans="2:14" ht="18" customHeight="1" x14ac:dyDescent="0.2">
      <c r="B31" s="6"/>
      <c r="C31" s="83"/>
      <c r="D31" s="84"/>
      <c r="E31" s="83"/>
      <c r="F31" s="84"/>
      <c r="G31" s="83"/>
      <c r="H31" s="84"/>
      <c r="I31" s="83"/>
      <c r="J31" s="99"/>
      <c r="K31" s="14"/>
      <c r="L31" s="17"/>
      <c r="M31" s="63"/>
      <c r="N31" s="64"/>
    </row>
    <row r="32" spans="2:14" ht="18" customHeight="1" x14ac:dyDescent="0.2">
      <c r="B32" s="8"/>
      <c r="C32" s="85"/>
      <c r="D32" s="86"/>
      <c r="E32" s="85"/>
      <c r="F32" s="86"/>
      <c r="G32" s="85"/>
      <c r="H32" s="86"/>
      <c r="I32" s="95"/>
      <c r="J32" s="96"/>
      <c r="K32" s="14"/>
      <c r="L32" s="17"/>
      <c r="M32" s="63"/>
      <c r="N32" s="64"/>
    </row>
    <row r="33" spans="2:14" ht="18" customHeight="1" x14ac:dyDescent="0.2">
      <c r="B33" s="7"/>
      <c r="C33" s="89"/>
      <c r="D33" s="90"/>
      <c r="E33" s="89"/>
      <c r="F33" s="90"/>
      <c r="G33" s="89"/>
      <c r="H33" s="90"/>
      <c r="I33" s="110"/>
      <c r="J33" s="111"/>
      <c r="K33" s="15"/>
      <c r="L33" s="20"/>
      <c r="M33" s="106"/>
      <c r="N33" s="107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1" priority="3" stopIfTrue="1">
      <formula>DAY(C4)&gt;8</formula>
    </cfRule>
  </conditionalFormatting>
  <conditionalFormatting sqref="C8:I10">
    <cfRule type="expression" dxfId="20" priority="2" stopIfTrue="1">
      <formula>AND(DAY(C8)&gt;=1,DAY(C8)&lt;=15)</formula>
    </cfRule>
  </conditionalFormatting>
  <conditionalFormatting sqref="C4:I9">
    <cfRule type="expression" dxfId="19" priority="4">
      <formula>VLOOKUP(DAY(C4),DíasDeTareas,1,FALSE)=DAY(C4)</formula>
    </cfRule>
  </conditionalFormatting>
  <conditionalFormatting sqref="B14:J33">
    <cfRule type="expression" dxfId="1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L35" sqref="L3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00" t="s">
        <v>19</v>
      </c>
      <c r="C2" s="21"/>
      <c r="D2" s="21"/>
      <c r="E2" s="21"/>
      <c r="F2" s="21"/>
      <c r="G2" s="21"/>
      <c r="H2" s="21"/>
      <c r="I2" s="21"/>
      <c r="J2" s="22"/>
      <c r="K2" s="74" t="s">
        <v>3</v>
      </c>
      <c r="L2" s="75">
        <v>2013</v>
      </c>
      <c r="M2" s="75"/>
      <c r="N2" s="25"/>
    </row>
    <row r="3" spans="1:14" ht="21" customHeight="1" x14ac:dyDescent="0.2">
      <c r="A3" s="4"/>
      <c r="B3" s="101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6"/>
      <c r="L3" s="77"/>
      <c r="M3" s="77"/>
      <c r="N3" s="26"/>
    </row>
    <row r="4" spans="1:14" ht="18" customHeight="1" x14ac:dyDescent="0.2">
      <c r="A4" s="4"/>
      <c r="B4" s="101"/>
      <c r="C4" s="10">
        <f>IF(DAY(SepDom1)=1,SepDom1-6,SepDom1+1)</f>
        <v>43339</v>
      </c>
      <c r="D4" s="10">
        <f>IF(DAY(SepDom1)=1,SepDom1-5,SepDom1+2)</f>
        <v>43340</v>
      </c>
      <c r="E4" s="10">
        <f>IF(DAY(SepDom1)=1,SepDom1-4,SepDom1+3)</f>
        <v>43341</v>
      </c>
      <c r="F4" s="10">
        <f>IF(DAY(SepDom1)=1,SepDom1-3,SepDom1+4)</f>
        <v>43342</v>
      </c>
      <c r="G4" s="10">
        <f>IF(DAY(SepDom1)=1,SepDom1-2,SepDom1+5)</f>
        <v>43343</v>
      </c>
      <c r="H4" s="10">
        <f>IF(DAY(SepDom1)=1,SepDom1-1,SepDom1+6)</f>
        <v>43344</v>
      </c>
      <c r="I4" s="10">
        <f>IF(DAY(SepDom1)=1,SepDom1,SepDom1+7)</f>
        <v>43345</v>
      </c>
      <c r="J4" s="5"/>
      <c r="K4" s="78" t="s">
        <v>12</v>
      </c>
      <c r="L4" s="16"/>
      <c r="M4" s="79"/>
      <c r="N4" s="80"/>
    </row>
    <row r="5" spans="1:14" ht="18" customHeight="1" x14ac:dyDescent="0.2">
      <c r="A5" s="4"/>
      <c r="B5" s="101"/>
      <c r="C5" s="10">
        <f>IF(DAY(SepDom1)=1,SepDom1+1,SepDom1+8)</f>
        <v>43346</v>
      </c>
      <c r="D5" s="10">
        <f>IF(DAY(SepDom1)=1,SepDom1+2,SepDom1+9)</f>
        <v>43347</v>
      </c>
      <c r="E5" s="10">
        <f>IF(DAY(SepDom1)=1,SepDom1+3,SepDom1+10)</f>
        <v>43348</v>
      </c>
      <c r="F5" s="10">
        <f>IF(DAY(SepDom1)=1,SepDom1+4,SepDom1+11)</f>
        <v>43349</v>
      </c>
      <c r="G5" s="10">
        <f>IF(DAY(SepDom1)=1,SepDom1+5,SepDom1+12)</f>
        <v>43350</v>
      </c>
      <c r="H5" s="10">
        <f>IF(DAY(SepDom1)=1,SepDom1+6,SepDom1+13)</f>
        <v>43351</v>
      </c>
      <c r="I5" s="10">
        <f>IF(DAY(SepDom1)=1,SepDom1+7,SepDom1+14)</f>
        <v>43352</v>
      </c>
      <c r="J5" s="5"/>
      <c r="K5" s="70"/>
      <c r="L5" s="17"/>
      <c r="M5" s="63"/>
      <c r="N5" s="64"/>
    </row>
    <row r="6" spans="1:14" ht="18" customHeight="1" x14ac:dyDescent="0.2">
      <c r="A6" s="4"/>
      <c r="B6" s="101"/>
      <c r="C6" s="10">
        <f>IF(DAY(SepDom1)=1,SepDom1+8,SepDom1+15)</f>
        <v>43353</v>
      </c>
      <c r="D6" s="10">
        <f>IF(DAY(SepDom1)=1,SepDom1+9,SepDom1+16)</f>
        <v>43354</v>
      </c>
      <c r="E6" s="10">
        <f>IF(DAY(SepDom1)=1,SepDom1+10,SepDom1+17)</f>
        <v>43355</v>
      </c>
      <c r="F6" s="10">
        <f>IF(DAY(SepDom1)=1,SepDom1+11,SepDom1+18)</f>
        <v>43356</v>
      </c>
      <c r="G6" s="10">
        <f>IF(DAY(SepDom1)=1,SepDom1+12,SepDom1+19)</f>
        <v>43357</v>
      </c>
      <c r="H6" s="10">
        <f>IF(DAY(SepDom1)=1,SepDom1+13,SepDom1+20)</f>
        <v>43358</v>
      </c>
      <c r="I6" s="10">
        <f>IF(DAY(SepDom1)=1,SepDom1+14,SepDom1+21)</f>
        <v>43359</v>
      </c>
      <c r="J6" s="5"/>
      <c r="K6" s="70"/>
      <c r="L6" s="17"/>
      <c r="M6" s="63"/>
      <c r="N6" s="64"/>
    </row>
    <row r="7" spans="1:14" ht="18" customHeight="1" x14ac:dyDescent="0.2">
      <c r="A7" s="4"/>
      <c r="B7" s="101"/>
      <c r="C7" s="10">
        <f>IF(DAY(SepDom1)=1,SepDom1+15,SepDom1+22)</f>
        <v>43360</v>
      </c>
      <c r="D7" s="10">
        <f>IF(DAY(SepDom1)=1,SepDom1+16,SepDom1+23)</f>
        <v>43361</v>
      </c>
      <c r="E7" s="10">
        <f>IF(DAY(SepDom1)=1,SepDom1+17,SepDom1+24)</f>
        <v>43362</v>
      </c>
      <c r="F7" s="10">
        <f>IF(DAY(SepDom1)=1,SepDom1+18,SepDom1+25)</f>
        <v>43363</v>
      </c>
      <c r="G7" s="10">
        <f>IF(DAY(SepDom1)=1,SepDom1+19,SepDom1+26)</f>
        <v>43364</v>
      </c>
      <c r="H7" s="10">
        <f>IF(DAY(SepDom1)=1,SepDom1+20,SepDom1+27)</f>
        <v>43365</v>
      </c>
      <c r="I7" s="10">
        <f>IF(DAY(SepDom1)=1,SepDom1+21,SepDom1+28)</f>
        <v>43366</v>
      </c>
      <c r="J7" s="5"/>
      <c r="K7" s="11"/>
      <c r="L7" s="17"/>
      <c r="M7" s="63"/>
      <c r="N7" s="64"/>
    </row>
    <row r="8" spans="1:14" ht="18.75" customHeight="1" x14ac:dyDescent="0.2">
      <c r="A8" s="4"/>
      <c r="B8" s="101"/>
      <c r="C8" s="10">
        <f>IF(DAY(SepDom1)=1,SepDom1+22,SepDom1+29)</f>
        <v>43367</v>
      </c>
      <c r="D8" s="10">
        <f>IF(DAY(SepDom1)=1,SepDom1+23,SepDom1+30)</f>
        <v>43368</v>
      </c>
      <c r="E8" s="10">
        <f>IF(DAY(SepDom1)=1,SepDom1+24,SepDom1+31)</f>
        <v>43369</v>
      </c>
      <c r="F8" s="10">
        <f>IF(DAY(SepDom1)=1,SepDom1+25,SepDom1+32)</f>
        <v>43370</v>
      </c>
      <c r="G8" s="10">
        <f>IF(DAY(SepDom1)=1,SepDom1+26,SepDom1+33)</f>
        <v>43371</v>
      </c>
      <c r="H8" s="10">
        <f>IF(DAY(SepDom1)=1,SepDom1+27,SepDom1+34)</f>
        <v>43372</v>
      </c>
      <c r="I8" s="10">
        <f>IF(DAY(SepDom1)=1,SepDom1+28,SepDom1+35)</f>
        <v>43373</v>
      </c>
      <c r="J8" s="5"/>
      <c r="K8" s="11"/>
      <c r="L8" s="17"/>
      <c r="M8" s="63"/>
      <c r="N8" s="64"/>
    </row>
    <row r="9" spans="1:14" ht="18" customHeight="1" x14ac:dyDescent="0.2">
      <c r="A9" s="4"/>
      <c r="B9" s="101"/>
      <c r="C9" s="10">
        <f>IF(DAY(SepDom1)=1,SepDom1+29,SepDom1+36)</f>
        <v>43374</v>
      </c>
      <c r="D9" s="10">
        <f>IF(DAY(SepDom1)=1,SepDom1+30,SepDom1+37)</f>
        <v>43375</v>
      </c>
      <c r="E9" s="10">
        <f>IF(DAY(SepDom1)=1,SepDom1+31,SepDom1+38)</f>
        <v>43376</v>
      </c>
      <c r="F9" s="10">
        <f>IF(DAY(SepDom1)=1,SepDom1+32,SepDom1+39)</f>
        <v>43377</v>
      </c>
      <c r="G9" s="10">
        <f>IF(DAY(SepDom1)=1,SepDom1+33,SepDom1+40)</f>
        <v>43378</v>
      </c>
      <c r="H9" s="10">
        <f>IF(DAY(SepDom1)=1,SepDom1+34,SepDom1+41)</f>
        <v>43379</v>
      </c>
      <c r="I9" s="10">
        <f>IF(DAY(SepDom1)=1,SepDom1+35,SepDom1+42)</f>
        <v>43380</v>
      </c>
      <c r="J9" s="5"/>
      <c r="K9" s="12"/>
      <c r="L9" s="18"/>
      <c r="M9" s="65"/>
      <c r="N9" s="66"/>
    </row>
    <row r="10" spans="1:14" ht="18" customHeight="1" x14ac:dyDescent="0.2">
      <c r="A10" s="4"/>
      <c r="B10" s="102"/>
      <c r="C10" s="23"/>
      <c r="D10" s="23"/>
      <c r="E10" s="23"/>
      <c r="F10" s="23"/>
      <c r="G10" s="23"/>
      <c r="H10" s="23"/>
      <c r="I10" s="23"/>
      <c r="J10" s="24"/>
      <c r="K10" s="69" t="s">
        <v>13</v>
      </c>
      <c r="L10" s="16"/>
      <c r="M10" s="67"/>
      <c r="N10" s="68"/>
    </row>
    <row r="11" spans="1:14" ht="18" customHeight="1" x14ac:dyDescent="0.2">
      <c r="A11" s="4"/>
      <c r="B11" s="103" t="s">
        <v>11</v>
      </c>
      <c r="C11" s="104"/>
      <c r="D11" s="104"/>
      <c r="E11" s="104"/>
      <c r="F11" s="104"/>
      <c r="G11" s="104"/>
      <c r="H11" s="104"/>
      <c r="I11" s="104"/>
      <c r="J11" s="105"/>
      <c r="K11" s="70"/>
      <c r="L11" s="17"/>
      <c r="M11" s="63"/>
      <c r="N11" s="64"/>
    </row>
    <row r="12" spans="1:14" ht="18" customHeight="1" x14ac:dyDescent="0.2">
      <c r="A12" s="4"/>
      <c r="B12" s="103"/>
      <c r="C12" s="104"/>
      <c r="D12" s="104"/>
      <c r="E12" s="104"/>
      <c r="F12" s="104"/>
      <c r="G12" s="104"/>
      <c r="H12" s="104"/>
      <c r="I12" s="104"/>
      <c r="J12" s="105"/>
      <c r="K12" s="70"/>
      <c r="L12" s="17"/>
      <c r="M12" s="63"/>
      <c r="N12" s="64"/>
    </row>
    <row r="13" spans="1:14" ht="18" customHeight="1" x14ac:dyDescent="0.2">
      <c r="B13" s="3" t="s">
        <v>12</v>
      </c>
      <c r="C13" s="71" t="s">
        <v>13</v>
      </c>
      <c r="D13" s="73"/>
      <c r="E13" s="71" t="s">
        <v>14</v>
      </c>
      <c r="F13" s="73"/>
      <c r="G13" s="71" t="s">
        <v>15</v>
      </c>
      <c r="H13" s="73"/>
      <c r="I13" s="71" t="s">
        <v>16</v>
      </c>
      <c r="J13" s="72"/>
      <c r="K13" s="11"/>
      <c r="L13" s="17"/>
      <c r="M13" s="63"/>
      <c r="N13" s="64"/>
    </row>
    <row r="14" spans="1:14" ht="18" customHeight="1" x14ac:dyDescent="0.2">
      <c r="B14" s="8"/>
      <c r="C14" s="85"/>
      <c r="D14" s="86"/>
      <c r="E14" s="85"/>
      <c r="F14" s="86"/>
      <c r="G14" s="85"/>
      <c r="H14" s="86"/>
      <c r="I14" s="85"/>
      <c r="J14" s="94"/>
      <c r="K14" s="11"/>
      <c r="L14" s="17"/>
      <c r="M14" s="63"/>
      <c r="N14" s="64"/>
    </row>
    <row r="15" spans="1:14" ht="18" customHeight="1" x14ac:dyDescent="0.2">
      <c r="B15" s="6"/>
      <c r="C15" s="83"/>
      <c r="D15" s="84"/>
      <c r="E15" s="83"/>
      <c r="F15" s="84"/>
      <c r="G15" s="83"/>
      <c r="H15" s="84"/>
      <c r="I15" s="91"/>
      <c r="J15" s="92"/>
      <c r="K15" s="13"/>
      <c r="L15" s="19"/>
      <c r="M15" s="65"/>
      <c r="N15" s="66"/>
    </row>
    <row r="16" spans="1:14" ht="18" customHeight="1" x14ac:dyDescent="0.2">
      <c r="B16" s="8"/>
      <c r="C16" s="85"/>
      <c r="D16" s="86"/>
      <c r="E16" s="85"/>
      <c r="F16" s="86"/>
      <c r="G16" s="85"/>
      <c r="H16" s="86"/>
      <c r="I16" s="95"/>
      <c r="J16" s="96"/>
      <c r="K16" s="61" t="s">
        <v>14</v>
      </c>
      <c r="L16" s="16"/>
      <c r="M16" s="67"/>
      <c r="N16" s="68"/>
    </row>
    <row r="17" spans="2:14" ht="18" customHeight="1" x14ac:dyDescent="0.2">
      <c r="B17" s="6"/>
      <c r="C17" s="83"/>
      <c r="D17" s="84"/>
      <c r="E17" s="83"/>
      <c r="F17" s="84"/>
      <c r="G17" s="83"/>
      <c r="H17" s="84"/>
      <c r="I17" s="91"/>
      <c r="J17" s="92"/>
      <c r="K17" s="62"/>
      <c r="L17" s="17"/>
      <c r="M17" s="63"/>
      <c r="N17" s="64"/>
    </row>
    <row r="18" spans="2:14" ht="18" customHeight="1" x14ac:dyDescent="0.2">
      <c r="B18" s="9"/>
      <c r="C18" s="87"/>
      <c r="D18" s="88"/>
      <c r="E18" s="87"/>
      <c r="F18" s="88"/>
      <c r="G18" s="87"/>
      <c r="H18" s="88"/>
      <c r="I18" s="87"/>
      <c r="J18" s="93"/>
      <c r="K18" s="62"/>
      <c r="L18" s="17"/>
      <c r="M18" s="63"/>
      <c r="N18" s="64"/>
    </row>
    <row r="19" spans="2:14" ht="18" customHeight="1" x14ac:dyDescent="0.2">
      <c r="B19" s="6"/>
      <c r="C19" s="83"/>
      <c r="D19" s="84"/>
      <c r="E19" s="83"/>
      <c r="F19" s="84"/>
      <c r="G19" s="83"/>
      <c r="H19" s="84"/>
      <c r="I19" s="91"/>
      <c r="J19" s="92"/>
      <c r="K19" s="11"/>
      <c r="L19" s="17"/>
      <c r="M19" s="63"/>
      <c r="N19" s="64"/>
    </row>
    <row r="20" spans="2:14" ht="18" customHeight="1" x14ac:dyDescent="0.2">
      <c r="B20" s="8"/>
      <c r="C20" s="85"/>
      <c r="D20" s="86"/>
      <c r="E20" s="85"/>
      <c r="F20" s="86"/>
      <c r="G20" s="85"/>
      <c r="H20" s="86"/>
      <c r="I20" s="85"/>
      <c r="J20" s="94"/>
      <c r="K20" s="11"/>
      <c r="L20" s="17"/>
      <c r="M20" s="63"/>
      <c r="N20" s="64"/>
    </row>
    <row r="21" spans="2:14" ht="18" customHeight="1" x14ac:dyDescent="0.2">
      <c r="B21" s="6"/>
      <c r="C21" s="83"/>
      <c r="D21" s="84"/>
      <c r="E21" s="83"/>
      <c r="F21" s="84"/>
      <c r="G21" s="83"/>
      <c r="H21" s="84"/>
      <c r="I21" s="97"/>
      <c r="J21" s="98"/>
      <c r="K21" s="13"/>
      <c r="L21" s="19"/>
      <c r="M21" s="65"/>
      <c r="N21" s="66"/>
    </row>
    <row r="22" spans="2:14" ht="18" customHeight="1" x14ac:dyDescent="0.2">
      <c r="B22" s="8"/>
      <c r="C22" s="85"/>
      <c r="D22" s="86"/>
      <c r="E22" s="85"/>
      <c r="F22" s="86"/>
      <c r="G22" s="85"/>
      <c r="H22" s="86"/>
      <c r="I22" s="85"/>
      <c r="J22" s="94"/>
      <c r="K22" s="61" t="s">
        <v>15</v>
      </c>
      <c r="L22" s="16"/>
      <c r="M22" s="67"/>
      <c r="N22" s="68"/>
    </row>
    <row r="23" spans="2:14" ht="18" customHeight="1" x14ac:dyDescent="0.2">
      <c r="B23" s="6"/>
      <c r="C23" s="83"/>
      <c r="D23" s="84"/>
      <c r="E23" s="83"/>
      <c r="F23" s="84"/>
      <c r="G23" s="83"/>
      <c r="H23" s="84"/>
      <c r="I23" s="91"/>
      <c r="J23" s="92"/>
      <c r="K23" s="62"/>
      <c r="L23" s="17"/>
      <c r="M23" s="63"/>
      <c r="N23" s="64"/>
    </row>
    <row r="24" spans="2:14" ht="18" customHeight="1" x14ac:dyDescent="0.2">
      <c r="B24" s="8"/>
      <c r="C24" s="85"/>
      <c r="D24" s="86"/>
      <c r="E24" s="85"/>
      <c r="F24" s="86"/>
      <c r="G24" s="85"/>
      <c r="H24" s="86"/>
      <c r="I24" s="85"/>
      <c r="J24" s="94"/>
      <c r="K24" s="62"/>
      <c r="L24" s="17"/>
      <c r="M24" s="63"/>
      <c r="N24" s="64"/>
    </row>
    <row r="25" spans="2:14" ht="18" customHeight="1" x14ac:dyDescent="0.2">
      <c r="B25" s="6"/>
      <c r="C25" s="83"/>
      <c r="D25" s="84"/>
      <c r="E25" s="83"/>
      <c r="F25" s="84"/>
      <c r="G25" s="83"/>
      <c r="H25" s="84"/>
      <c r="I25" s="91"/>
      <c r="J25" s="92"/>
      <c r="K25" s="62"/>
      <c r="L25" s="17"/>
      <c r="M25" s="63"/>
      <c r="N25" s="64"/>
    </row>
    <row r="26" spans="2:14" ht="18" customHeight="1" x14ac:dyDescent="0.2">
      <c r="B26" s="8"/>
      <c r="C26" s="85"/>
      <c r="D26" s="86"/>
      <c r="E26" s="85"/>
      <c r="F26" s="86"/>
      <c r="G26" s="85"/>
      <c r="H26" s="86"/>
      <c r="I26" s="85"/>
      <c r="J26" s="94"/>
      <c r="K26" s="11"/>
      <c r="L26" s="17"/>
      <c r="M26" s="63"/>
      <c r="N26" s="64"/>
    </row>
    <row r="27" spans="2:14" ht="18" customHeight="1" x14ac:dyDescent="0.2">
      <c r="B27" s="6"/>
      <c r="C27" s="83"/>
      <c r="D27" s="84"/>
      <c r="E27" s="83"/>
      <c r="F27" s="84"/>
      <c r="G27" s="83"/>
      <c r="H27" s="84"/>
      <c r="I27" s="91"/>
      <c r="J27" s="92"/>
      <c r="K27" s="13"/>
      <c r="L27" s="19"/>
      <c r="M27" s="65"/>
      <c r="N27" s="66"/>
    </row>
    <row r="28" spans="2:14" ht="18" customHeight="1" x14ac:dyDescent="0.2">
      <c r="B28" s="8"/>
      <c r="C28" s="85"/>
      <c r="D28" s="86"/>
      <c r="E28" s="85"/>
      <c r="F28" s="86"/>
      <c r="G28" s="85"/>
      <c r="H28" s="86"/>
      <c r="I28" s="85"/>
      <c r="J28" s="94"/>
      <c r="K28" s="69" t="s">
        <v>16</v>
      </c>
      <c r="L28" s="16"/>
      <c r="M28" s="67"/>
      <c r="N28" s="68"/>
    </row>
    <row r="29" spans="2:14" ht="18" customHeight="1" x14ac:dyDescent="0.2">
      <c r="B29" s="6"/>
      <c r="C29" s="83"/>
      <c r="D29" s="84"/>
      <c r="E29" s="83"/>
      <c r="F29" s="84"/>
      <c r="G29" s="83"/>
      <c r="H29" s="84"/>
      <c r="I29" s="83"/>
      <c r="J29" s="99"/>
      <c r="K29" s="70"/>
      <c r="L29" s="17"/>
      <c r="M29" s="63"/>
      <c r="N29" s="64"/>
    </row>
    <row r="30" spans="2:14" ht="18" customHeight="1" x14ac:dyDescent="0.2">
      <c r="B30" s="8"/>
      <c r="C30" s="85"/>
      <c r="D30" s="86"/>
      <c r="E30" s="85"/>
      <c r="F30" s="86"/>
      <c r="G30" s="85"/>
      <c r="H30" s="86"/>
      <c r="I30" s="108"/>
      <c r="J30" s="109"/>
      <c r="K30" s="70"/>
      <c r="L30" s="17"/>
      <c r="M30" s="63"/>
      <c r="N30" s="64"/>
    </row>
    <row r="31" spans="2:14" ht="18" customHeight="1" x14ac:dyDescent="0.2">
      <c r="B31" s="6"/>
      <c r="C31" s="83"/>
      <c r="D31" s="84"/>
      <c r="E31" s="83"/>
      <c r="F31" s="84"/>
      <c r="G31" s="83"/>
      <c r="H31" s="84"/>
      <c r="I31" s="83"/>
      <c r="J31" s="99"/>
      <c r="K31" s="14"/>
      <c r="L31" s="17"/>
      <c r="M31" s="63"/>
      <c r="N31" s="64"/>
    </row>
    <row r="32" spans="2:14" ht="18" customHeight="1" x14ac:dyDescent="0.2">
      <c r="B32" s="8"/>
      <c r="C32" s="85"/>
      <c r="D32" s="86"/>
      <c r="E32" s="85"/>
      <c r="F32" s="86"/>
      <c r="G32" s="85"/>
      <c r="H32" s="86"/>
      <c r="I32" s="95"/>
      <c r="J32" s="96"/>
      <c r="K32" s="14"/>
      <c r="L32" s="17"/>
      <c r="M32" s="63"/>
      <c r="N32" s="64"/>
    </row>
    <row r="33" spans="2:14" ht="18" customHeight="1" x14ac:dyDescent="0.2">
      <c r="B33" s="7"/>
      <c r="C33" s="89"/>
      <c r="D33" s="90"/>
      <c r="E33" s="89"/>
      <c r="F33" s="90"/>
      <c r="G33" s="89"/>
      <c r="H33" s="90"/>
      <c r="I33" s="110"/>
      <c r="J33" s="111"/>
      <c r="K33" s="15"/>
      <c r="L33" s="20"/>
      <c r="M33" s="106"/>
      <c r="N33" s="107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7" priority="3" stopIfTrue="1">
      <formula>DAY(C4)&gt;8</formula>
    </cfRule>
  </conditionalFormatting>
  <conditionalFormatting sqref="C8:I10">
    <cfRule type="expression" dxfId="16" priority="2" stopIfTrue="1">
      <formula>AND(DAY(C8)&gt;=1,DAY(C8)&lt;=15)</formula>
    </cfRule>
  </conditionalFormatting>
  <conditionalFormatting sqref="C4:I9">
    <cfRule type="expression" dxfId="15" priority="4">
      <formula>VLOOKUP(DAY(C4),DíasDeTareas,1,FALSE)=DAY(C4)</formula>
    </cfRule>
  </conditionalFormatting>
  <conditionalFormatting sqref="B14:J33">
    <cfRule type="expression" dxfId="1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Transparencia Tecolotlán</cp:lastModifiedBy>
  <cp:lastPrinted>2010-12-16T21:23:33Z</cp:lastPrinted>
  <dcterms:created xsi:type="dcterms:W3CDTF">2015-11-13T18:10:35Z</dcterms:created>
  <dcterms:modified xsi:type="dcterms:W3CDTF">2018-11-05T17:55:01Z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