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autoCompressPictures="0"/>
  <bookViews>
    <workbookView xWindow="0" yWindow="195" windowWidth="15480" windowHeight="11565" tabRatio="690" firstSheet="9" activeTab="11"/>
  </bookViews>
  <sheets>
    <sheet name="Enero" sheetId="1" state="hidden" r:id="rId1"/>
    <sheet name="Febrero" sheetId="6" state="hidden" r:id="rId2"/>
    <sheet name="Marzo" sheetId="7" state="hidden" r:id="rId3"/>
    <sheet name="Abril" sheetId="8" state="hidden" r:id="rId4"/>
    <sheet name="Mayo" sheetId="9" state="hidden" r:id="rId5"/>
    <sheet name="Junio" sheetId="10" state="hidden" r:id="rId6"/>
    <sheet name="Julio" sheetId="11" state="hidden" r:id="rId7"/>
    <sheet name="Agosto" sheetId="12" state="hidden" r:id="rId8"/>
    <sheet name="Septiembre" sheetId="13" state="hidden" r:id="rId9"/>
    <sheet name="Octubre" sheetId="14" r:id="rId10"/>
    <sheet name="Noviembre" sheetId="15" r:id="rId11"/>
    <sheet name="Diciembre" sheetId="16" r:id="rId12"/>
  </sheets>
  <definedNames>
    <definedName name="AbrDom1">DATE(Año_Calendario,4,1)-WEEKDAY(DATE(Año_Calendario,4,1))+1</definedName>
    <definedName name="AgoDom1">DATE(Año_Calendario,8,1)-WEEKDAY(DATE(Año_Calendario,8,1))+1</definedName>
    <definedName name="Año_Calendario">Enero!$N$2</definedName>
    <definedName name="_xlnm.Print_Area" localSheetId="3">Abril!$A$1:$M$50</definedName>
    <definedName name="_xlnm.Print_Area" localSheetId="7">Agosto!$A$1:$M$50</definedName>
    <definedName name="_xlnm.Print_Area" localSheetId="11">Diciembre!$A$1:$M$50</definedName>
    <definedName name="_xlnm.Print_Area" localSheetId="0">Enero!$A$1:$M$50</definedName>
    <definedName name="_xlnm.Print_Area" localSheetId="1">Febrero!$A$1:$M$50</definedName>
    <definedName name="_xlnm.Print_Area" localSheetId="6">Julio!$A$1:$M$50</definedName>
    <definedName name="_xlnm.Print_Area" localSheetId="5">Junio!$A$1:$M$50</definedName>
    <definedName name="_xlnm.Print_Area" localSheetId="2">Marzo!$A$1:$M$50</definedName>
    <definedName name="_xlnm.Print_Area" localSheetId="4">Mayo!$A$1:$M$50</definedName>
    <definedName name="_xlnm.Print_Area" localSheetId="10">Noviembre!$A$1:$M$50</definedName>
    <definedName name="_xlnm.Print_Area" localSheetId="9">Octubre!$A$1:$M$50</definedName>
    <definedName name="_xlnm.Print_Area" localSheetId="8">Septiembre!$A$1:$M$50</definedName>
    <definedName name="DíasDeTareas" localSheetId="3">Abril!$L$4:$L$33</definedName>
    <definedName name="DíasDeTareas" localSheetId="7">Agosto!$L$4:$L$33</definedName>
    <definedName name="DíasDeTareas" localSheetId="11">Diciembre!$L$4:$L$33</definedName>
    <definedName name="DíasDeTareas" localSheetId="1">Febrero!$L$4:$L$33</definedName>
    <definedName name="DíasDeTareas" localSheetId="6">Julio!$L$4:$L$33</definedName>
    <definedName name="DíasDeTareas" localSheetId="5">Junio!$L$4:$L$33</definedName>
    <definedName name="DíasDeTareas" localSheetId="2">Marzo!$L$4:$L$33</definedName>
    <definedName name="DíasDeTareas" localSheetId="4">Mayo!$L$4:$L$33</definedName>
    <definedName name="DíasDeTareas" localSheetId="10">Noviembre!$L$4:$L$33</definedName>
    <definedName name="DíasDeTareas" localSheetId="9">Octubre!$L$4:$L$33</definedName>
    <definedName name="DíasDeTareas" localSheetId="8">Septiembre!$L$4:$L$33</definedName>
    <definedName name="DíasDeTareas">Enero!$L$4:$L$33</definedName>
    <definedName name="DicDom1">DATE(Año_Calendario,12,1)-WEEKDAY(DATE(Año_Calendario,12,1))+1</definedName>
    <definedName name="FebDom1">DATE(Año_Calendario,2,1)-WEEKDAY(DATE(Año_Calendario,2,1))+1</definedName>
    <definedName name="JanSun1">DATE(Año_Calendario,1,1)-WEEKDAY(DATE(Año_Calendario,1,1))+1</definedName>
    <definedName name="JulDom1">DATE(Año_Calendario,7,1)-WEEKDAY(DATE(Año_Calendario,7,1))+1</definedName>
    <definedName name="JunDom1">DATE(Año_Calendario,6,1)-WEEKDAY(DATE(Año_Calendario,6,1))+1</definedName>
    <definedName name="MarDom1">DATE(Año_Calendario,3,1)-WEEKDAY(DATE(Año_Calendario,3,1))+1</definedName>
    <definedName name="MayDom1">DATE(Año_Calendario,5,1)-WEEKDAY(DATE(Año_Calendario,5,1))+1</definedName>
    <definedName name="NovDom1">DATE(Año_Calendario,11,1)-WEEKDAY(DATE(Año_Calendario,11,1))+1</definedName>
    <definedName name="OctDom1">DATE(Año_Calendario,10,1)-WEEKDAY(DATE(Año_Calendario,10,1))+1</definedName>
    <definedName name="SepDom1">DATE(Año_Calendario,9,1)-WEEKDAY(DATE(Año_Calendario,9,1))+1</definedName>
    <definedName name="TablaFechasImportantes" localSheetId="3">Abril!$L$4:$M$8</definedName>
    <definedName name="TablaFechasImportantes" localSheetId="7">Agosto!$L$4:$M$8</definedName>
    <definedName name="TablaFechasImportantes" localSheetId="11">Diciembre!$L$4:$M$8</definedName>
    <definedName name="TablaFechasImportantes" localSheetId="1">Febrero!$L$4:$M$8</definedName>
    <definedName name="TablaFechasImportantes" localSheetId="6">Julio!$L$4:$M$8</definedName>
    <definedName name="TablaFechasImportantes" localSheetId="5">Junio!$L$4:$M$8</definedName>
    <definedName name="TablaFechasImportantes" localSheetId="2">Marzo!$L$4:$M$8</definedName>
    <definedName name="TablaFechasImportantes" localSheetId="4">Mayo!$L$4:$M$8</definedName>
    <definedName name="TablaFechasImportantes" localSheetId="10">Noviembre!$L$4:$M$8</definedName>
    <definedName name="TablaFechasImportantes" localSheetId="9">Octubre!$L$4:$M$8</definedName>
    <definedName name="TablaFechasImportantes" localSheetId="8">Septiembre!$L$4:$M$8</definedName>
    <definedName name="TablaFechasImportantes">Enero!$L$4:$M$8</definedName>
  </definedNames>
  <calcPr calcId="144525"/>
  <extLst>
    <ext xmlns:mx="http://schemas.microsoft.com/office/mac/excel/2008/main" uri="{7523E5D3-25F3-A5E0-1632-64F254C22452}">
      <mx:ArchID Flags="2"/>
    </ext>
  </extLst>
</workbook>
</file>

<file path=xl/calcChain.xml><?xml version="1.0" encoding="utf-8"?>
<calcChain xmlns="http://schemas.openxmlformats.org/spreadsheetml/2006/main">
  <c r="I9" i="8" l="1"/>
  <c r="H9" i="8"/>
  <c r="G9" i="8"/>
  <c r="F9" i="8"/>
  <c r="E9" i="8"/>
  <c r="D9" i="8"/>
  <c r="C9" i="8"/>
  <c r="I8" i="8"/>
  <c r="H8" i="8"/>
  <c r="G8" i="8"/>
  <c r="F8" i="8"/>
  <c r="E8" i="8"/>
  <c r="D8" i="8"/>
  <c r="C8" i="8"/>
  <c r="I7" i="8"/>
  <c r="H7" i="8"/>
  <c r="G7" i="8"/>
  <c r="F7" i="8"/>
  <c r="E7" i="8"/>
  <c r="D7" i="8"/>
  <c r="C7" i="8"/>
  <c r="I6" i="8"/>
  <c r="H6" i="8"/>
  <c r="G6" i="8"/>
  <c r="F6" i="8"/>
  <c r="E6" i="8"/>
  <c r="D6" i="8"/>
  <c r="C6" i="8"/>
  <c r="I5" i="8"/>
  <c r="H5" i="8"/>
  <c r="G5" i="8"/>
  <c r="F5" i="8"/>
  <c r="E5" i="8"/>
  <c r="D5" i="8"/>
  <c r="C5" i="8"/>
  <c r="I4" i="8"/>
  <c r="H4" i="8"/>
  <c r="G4" i="8"/>
  <c r="F4" i="8"/>
  <c r="E4" i="8"/>
  <c r="D4" i="8"/>
  <c r="C4" i="8"/>
  <c r="I9" i="16"/>
  <c r="H9" i="16"/>
  <c r="G9" i="16"/>
  <c r="F9" i="16"/>
  <c r="E9" i="16"/>
  <c r="D9" i="16"/>
  <c r="C9" i="16"/>
  <c r="I8" i="16"/>
  <c r="H8" i="16"/>
  <c r="G8" i="16"/>
  <c r="F8" i="16"/>
  <c r="E8" i="16"/>
  <c r="D8" i="16"/>
  <c r="C8" i="16"/>
  <c r="I7" i="16"/>
  <c r="H7" i="16"/>
  <c r="G7" i="16"/>
  <c r="F7" i="16"/>
  <c r="E7" i="16"/>
  <c r="D7" i="16"/>
  <c r="C7" i="16"/>
  <c r="I6" i="16"/>
  <c r="H6" i="16"/>
  <c r="G6" i="16"/>
  <c r="F6" i="16"/>
  <c r="E6" i="16"/>
  <c r="D6" i="16"/>
  <c r="C6" i="16"/>
  <c r="I5" i="16"/>
  <c r="H5" i="16"/>
  <c r="G5" i="16"/>
  <c r="F5" i="16"/>
  <c r="E5" i="16"/>
  <c r="D5" i="16"/>
  <c r="C5" i="16"/>
  <c r="I4" i="16"/>
  <c r="H4" i="16"/>
  <c r="G4" i="16"/>
  <c r="F4" i="16"/>
  <c r="E4" i="16"/>
  <c r="D4" i="16"/>
  <c r="C4" i="16"/>
  <c r="I9" i="15"/>
  <c r="H9" i="15"/>
  <c r="G9" i="15"/>
  <c r="F9" i="15"/>
  <c r="E9" i="15"/>
  <c r="D9" i="15"/>
  <c r="C9" i="15"/>
  <c r="I8" i="15"/>
  <c r="H8" i="15"/>
  <c r="G8" i="15"/>
  <c r="F8" i="15"/>
  <c r="E8" i="15"/>
  <c r="D8" i="15"/>
  <c r="C8" i="15"/>
  <c r="I7" i="15"/>
  <c r="H7" i="15"/>
  <c r="G7" i="15"/>
  <c r="F7" i="15"/>
  <c r="E7" i="15"/>
  <c r="D7" i="15"/>
  <c r="C7" i="15"/>
  <c r="I6" i="15"/>
  <c r="H6" i="15"/>
  <c r="G6" i="15"/>
  <c r="F6" i="15"/>
  <c r="E6" i="15"/>
  <c r="D6" i="15"/>
  <c r="C6" i="15"/>
  <c r="I5" i="15"/>
  <c r="H5" i="15"/>
  <c r="G5" i="15"/>
  <c r="F5" i="15"/>
  <c r="E5" i="15"/>
  <c r="D5" i="15"/>
  <c r="C5" i="15"/>
  <c r="I4" i="15"/>
  <c r="H4" i="15"/>
  <c r="G4" i="15"/>
  <c r="F4" i="15"/>
  <c r="E4" i="15"/>
  <c r="D4" i="15"/>
  <c r="C4" i="15"/>
  <c r="I9" i="14"/>
  <c r="H9" i="14"/>
  <c r="G9" i="14"/>
  <c r="F9" i="14"/>
  <c r="E9" i="14"/>
  <c r="D9" i="14"/>
  <c r="C9" i="14"/>
  <c r="I8" i="14"/>
  <c r="H8" i="14"/>
  <c r="G8" i="14"/>
  <c r="F8" i="14"/>
  <c r="E8" i="14"/>
  <c r="D8" i="14"/>
  <c r="C8" i="14"/>
  <c r="I7" i="14"/>
  <c r="H7" i="14"/>
  <c r="G7" i="14"/>
  <c r="F7" i="14"/>
  <c r="E7" i="14"/>
  <c r="D7" i="14"/>
  <c r="C7" i="14"/>
  <c r="I6" i="14"/>
  <c r="H6" i="14"/>
  <c r="G6" i="14"/>
  <c r="F6" i="14"/>
  <c r="E6" i="14"/>
  <c r="D6" i="14"/>
  <c r="C6" i="14"/>
  <c r="I5" i="14"/>
  <c r="H5" i="14"/>
  <c r="G5" i="14"/>
  <c r="F5" i="14"/>
  <c r="E5" i="14"/>
  <c r="D5" i="14"/>
  <c r="C5" i="14"/>
  <c r="I4" i="14"/>
  <c r="H4" i="14"/>
  <c r="G4" i="14"/>
  <c r="F4" i="14"/>
  <c r="E4" i="14"/>
  <c r="D4" i="14"/>
  <c r="C4" i="14"/>
  <c r="I9" i="13"/>
  <c r="H9" i="13"/>
  <c r="G9" i="13"/>
  <c r="F9" i="13"/>
  <c r="E9" i="13"/>
  <c r="D9" i="13"/>
  <c r="C9" i="13"/>
  <c r="I8" i="13"/>
  <c r="H8" i="13"/>
  <c r="G8" i="13"/>
  <c r="F8" i="13"/>
  <c r="E8" i="13"/>
  <c r="D8" i="13"/>
  <c r="C8" i="13"/>
  <c r="I7" i="13"/>
  <c r="H7" i="13"/>
  <c r="G7" i="13"/>
  <c r="F7" i="13"/>
  <c r="E7" i="13"/>
  <c r="D7" i="13"/>
  <c r="C7" i="13"/>
  <c r="I6" i="13"/>
  <c r="H6" i="13"/>
  <c r="G6" i="13"/>
  <c r="F6" i="13"/>
  <c r="E6" i="13"/>
  <c r="D6" i="13"/>
  <c r="C6" i="13"/>
  <c r="I5" i="13"/>
  <c r="H5" i="13"/>
  <c r="G5" i="13"/>
  <c r="F5" i="13"/>
  <c r="E5" i="13"/>
  <c r="D5" i="13"/>
  <c r="C5" i="13"/>
  <c r="I4" i="13"/>
  <c r="H4" i="13"/>
  <c r="G4" i="13"/>
  <c r="F4" i="13"/>
  <c r="E4" i="13"/>
  <c r="D4" i="13"/>
  <c r="C4" i="13"/>
  <c r="I9" i="12"/>
  <c r="H9" i="12"/>
  <c r="G9" i="12"/>
  <c r="F9" i="12"/>
  <c r="E9" i="12"/>
  <c r="D9" i="12"/>
  <c r="C9" i="12"/>
  <c r="I8" i="12"/>
  <c r="H8" i="12"/>
  <c r="G8" i="12"/>
  <c r="F8" i="12"/>
  <c r="E8" i="12"/>
  <c r="D8" i="12"/>
  <c r="C8" i="12"/>
  <c r="I7" i="12"/>
  <c r="H7" i="12"/>
  <c r="G7" i="12"/>
  <c r="F7" i="12"/>
  <c r="E7" i="12"/>
  <c r="D7" i="12"/>
  <c r="C7" i="12"/>
  <c r="I6" i="12"/>
  <c r="H6" i="12"/>
  <c r="G6" i="12"/>
  <c r="F6" i="12"/>
  <c r="E6" i="12"/>
  <c r="D6" i="12"/>
  <c r="C6" i="12"/>
  <c r="I5" i="12"/>
  <c r="H5" i="12"/>
  <c r="G5" i="12"/>
  <c r="F5" i="12"/>
  <c r="E5" i="12"/>
  <c r="D5" i="12"/>
  <c r="C5" i="12"/>
  <c r="I4" i="12"/>
  <c r="H4" i="12"/>
  <c r="G4" i="12"/>
  <c r="F4" i="12"/>
  <c r="E4" i="12"/>
  <c r="D4" i="12"/>
  <c r="C4" i="12"/>
  <c r="I9" i="11"/>
  <c r="H9" i="11"/>
  <c r="G9" i="11"/>
  <c r="F9" i="11"/>
  <c r="E9" i="11"/>
  <c r="D9" i="11"/>
  <c r="C9" i="11"/>
  <c r="I8" i="11"/>
  <c r="H8" i="11"/>
  <c r="G8" i="11"/>
  <c r="F8" i="11"/>
  <c r="E8" i="11"/>
  <c r="D8" i="11"/>
  <c r="C8" i="11"/>
  <c r="I7" i="11"/>
  <c r="H7" i="11"/>
  <c r="G7" i="11"/>
  <c r="F7" i="11"/>
  <c r="E7" i="11"/>
  <c r="D7" i="11"/>
  <c r="C7" i="11"/>
  <c r="I6" i="11"/>
  <c r="H6" i="11"/>
  <c r="G6" i="11"/>
  <c r="F6" i="11"/>
  <c r="E6" i="11"/>
  <c r="D6" i="11"/>
  <c r="C6" i="11"/>
  <c r="I5" i="11"/>
  <c r="H5" i="11"/>
  <c r="G5" i="11"/>
  <c r="F5" i="11"/>
  <c r="E5" i="11"/>
  <c r="D5" i="11"/>
  <c r="C5" i="11"/>
  <c r="I4" i="11"/>
  <c r="H4" i="11"/>
  <c r="G4" i="11"/>
  <c r="F4" i="11"/>
  <c r="E4" i="11"/>
  <c r="D4" i="11"/>
  <c r="C4" i="11"/>
  <c r="I9" i="10"/>
  <c r="H9" i="10"/>
  <c r="G9" i="10"/>
  <c r="F9" i="10"/>
  <c r="E9" i="10"/>
  <c r="D9" i="10"/>
  <c r="C9" i="10"/>
  <c r="I8" i="10"/>
  <c r="H8" i="10"/>
  <c r="G8" i="10"/>
  <c r="F8" i="10"/>
  <c r="E8" i="10"/>
  <c r="D8" i="10"/>
  <c r="C8" i="10"/>
  <c r="I7" i="10"/>
  <c r="H7" i="10"/>
  <c r="G7" i="10"/>
  <c r="F7" i="10"/>
  <c r="E7" i="10"/>
  <c r="D7" i="10"/>
  <c r="C7" i="10"/>
  <c r="I6" i="10"/>
  <c r="H6" i="10"/>
  <c r="G6" i="10"/>
  <c r="F6" i="10"/>
  <c r="E6" i="10"/>
  <c r="D6" i="10"/>
  <c r="C6" i="10"/>
  <c r="I5" i="10"/>
  <c r="H5" i="10"/>
  <c r="G5" i="10"/>
  <c r="F5" i="10"/>
  <c r="E5" i="10"/>
  <c r="D5" i="10"/>
  <c r="C5" i="10"/>
  <c r="I4" i="10"/>
  <c r="H4" i="10"/>
  <c r="G4" i="10"/>
  <c r="F4" i="10"/>
  <c r="E4" i="10"/>
  <c r="D4" i="10"/>
  <c r="C4" i="10"/>
  <c r="I9" i="9"/>
  <c r="H9" i="9"/>
  <c r="G9" i="9"/>
  <c r="F9" i="9"/>
  <c r="E9" i="9"/>
  <c r="D9" i="9"/>
  <c r="C9" i="9"/>
  <c r="I8" i="9"/>
  <c r="H8" i="9"/>
  <c r="G8" i="9"/>
  <c r="F8" i="9"/>
  <c r="E8" i="9"/>
  <c r="D8" i="9"/>
  <c r="C8" i="9"/>
  <c r="I7" i="9"/>
  <c r="H7" i="9"/>
  <c r="G7" i="9"/>
  <c r="F7" i="9"/>
  <c r="E7" i="9"/>
  <c r="D7" i="9"/>
  <c r="C7" i="9"/>
  <c r="I6" i="9"/>
  <c r="H6" i="9"/>
  <c r="G6" i="9"/>
  <c r="F6" i="9"/>
  <c r="E6" i="9"/>
  <c r="D6" i="9"/>
  <c r="C6" i="9"/>
  <c r="I5" i="9"/>
  <c r="H5" i="9"/>
  <c r="G5" i="9"/>
  <c r="F5" i="9"/>
  <c r="E5" i="9"/>
  <c r="D5" i="9"/>
  <c r="C5" i="9"/>
  <c r="I4" i="9"/>
  <c r="H4" i="9"/>
  <c r="G4" i="9"/>
  <c r="F4" i="9"/>
  <c r="E4" i="9"/>
  <c r="D4" i="9"/>
  <c r="C4" i="9"/>
  <c r="I9" i="7"/>
  <c r="H9" i="7"/>
  <c r="G9" i="7"/>
  <c r="F9" i="7"/>
  <c r="E9" i="7"/>
  <c r="D9" i="7"/>
  <c r="C9" i="7"/>
  <c r="I8" i="7"/>
  <c r="H8" i="7"/>
  <c r="G8" i="7"/>
  <c r="F8" i="7"/>
  <c r="E8" i="7"/>
  <c r="D8" i="7"/>
  <c r="C8" i="7"/>
  <c r="I7" i="7"/>
  <c r="H7" i="7"/>
  <c r="G7" i="7"/>
  <c r="F7" i="7"/>
  <c r="E7" i="7"/>
  <c r="D7" i="7"/>
  <c r="C7" i="7"/>
  <c r="I6" i="7"/>
  <c r="H6" i="7"/>
  <c r="G6" i="7"/>
  <c r="F6" i="7"/>
  <c r="E6" i="7"/>
  <c r="D6" i="7"/>
  <c r="C6" i="7"/>
  <c r="I5" i="7"/>
  <c r="H5" i="7"/>
  <c r="G5" i="7"/>
  <c r="F5" i="7"/>
  <c r="E5" i="7"/>
  <c r="D5" i="7"/>
  <c r="C5" i="7"/>
  <c r="I4" i="7"/>
  <c r="H4" i="7"/>
  <c r="G4" i="7"/>
  <c r="F4" i="7"/>
  <c r="E4" i="7"/>
  <c r="D4" i="7"/>
  <c r="C4" i="7"/>
  <c r="I9" i="6"/>
  <c r="H9" i="6"/>
  <c r="G9" i="6"/>
  <c r="F9" i="6"/>
  <c r="E9" i="6"/>
  <c r="D9" i="6"/>
  <c r="C9" i="6"/>
  <c r="I8" i="6"/>
  <c r="H8" i="6"/>
  <c r="G8" i="6"/>
  <c r="F8" i="6"/>
  <c r="E8" i="6"/>
  <c r="D8" i="6"/>
  <c r="C8" i="6"/>
  <c r="I7" i="6"/>
  <c r="H7" i="6"/>
  <c r="G7" i="6"/>
  <c r="F7" i="6"/>
  <c r="E7" i="6"/>
  <c r="D7" i="6"/>
  <c r="C7" i="6"/>
  <c r="I6" i="6"/>
  <c r="H6" i="6"/>
  <c r="G6" i="6"/>
  <c r="F6" i="6"/>
  <c r="E6" i="6"/>
  <c r="D6" i="6"/>
  <c r="C6" i="6"/>
  <c r="I5" i="6"/>
  <c r="H5" i="6"/>
  <c r="G5" i="6"/>
  <c r="F5" i="6"/>
  <c r="E5" i="6"/>
  <c r="D5" i="6"/>
  <c r="C5" i="6"/>
  <c r="I4" i="6"/>
  <c r="H4" i="6"/>
  <c r="G4" i="6"/>
  <c r="F4" i="6"/>
  <c r="E4" i="6"/>
  <c r="D4" i="6"/>
  <c r="C4" i="6"/>
  <c r="H4" i="1" l="1"/>
  <c r="I9" i="1" l="1"/>
  <c r="H9" i="1"/>
  <c r="G9" i="1"/>
  <c r="F9" i="1"/>
  <c r="E9" i="1"/>
  <c r="D9" i="1"/>
  <c r="C9" i="1"/>
  <c r="I8" i="1"/>
  <c r="H8" i="1"/>
  <c r="G8" i="1"/>
  <c r="F8" i="1"/>
  <c r="E8" i="1"/>
  <c r="D8" i="1"/>
  <c r="C8" i="1"/>
  <c r="I7" i="1"/>
  <c r="H7" i="1"/>
  <c r="G7" i="1"/>
  <c r="F7" i="1"/>
  <c r="E7" i="1"/>
  <c r="D7" i="1"/>
  <c r="C7" i="1"/>
  <c r="I6" i="1"/>
  <c r="H6" i="1"/>
  <c r="G6" i="1"/>
  <c r="F6" i="1"/>
  <c r="E6" i="1"/>
  <c r="D6" i="1"/>
  <c r="C6" i="1"/>
  <c r="I5" i="1"/>
  <c r="H5" i="1"/>
  <c r="G5" i="1"/>
  <c r="F5" i="1"/>
  <c r="E5" i="1"/>
  <c r="D5" i="1"/>
  <c r="C5" i="1"/>
  <c r="I4" i="1"/>
  <c r="G4" i="1"/>
  <c r="F4" i="1"/>
  <c r="E4" i="1"/>
  <c r="D4" i="1"/>
  <c r="C4" i="1"/>
</calcChain>
</file>

<file path=xl/sharedStrings.xml><?xml version="1.0" encoding="utf-8"?>
<sst xmlns="http://schemas.openxmlformats.org/spreadsheetml/2006/main" count="293" uniqueCount="80">
  <si>
    <t>S</t>
  </si>
  <si>
    <t>M</t>
  </si>
  <si>
    <t>8:00</t>
  </si>
  <si>
    <t>TAREAS</t>
  </si>
  <si>
    <t>ENERO</t>
  </si>
  <si>
    <t>L</t>
  </si>
  <si>
    <t>X</t>
  </si>
  <si>
    <t>J</t>
  </si>
  <si>
    <t>V</t>
  </si>
  <si>
    <t>D</t>
  </si>
  <si>
    <t>DICIEMBRE</t>
  </si>
  <si>
    <t>HORARIO SEMANAL</t>
  </si>
  <si>
    <t>LUN</t>
  </si>
  <si>
    <t>MAR</t>
  </si>
  <si>
    <t>MIÉ</t>
  </si>
  <si>
    <t>JUE</t>
  </si>
  <si>
    <t>VIE</t>
  </si>
  <si>
    <t>NOVIEMBRE</t>
  </si>
  <si>
    <t>OCTUBRE</t>
  </si>
  <si>
    <t>SEPTIEMBRE</t>
  </si>
  <si>
    <t>AGOSTO</t>
  </si>
  <si>
    <t>JULIO</t>
  </si>
  <si>
    <t>JUNIO</t>
  </si>
  <si>
    <t>MAYO</t>
  </si>
  <si>
    <t>ABRIL</t>
  </si>
  <si>
    <t>MARZO</t>
  </si>
  <si>
    <t>FEBRERO</t>
  </si>
  <si>
    <t>Visita en Preparatoria del Grullo, Consejo Técnico de Catastro, Instalación de Consejo Estatal del Grullo</t>
  </si>
  <si>
    <t>Siembra de peces en la presa del Pochote.</t>
  </si>
  <si>
    <t>Mural de Cultrua, Desfile de Catrinas, Altar Municipal y concurso de Catrinas.</t>
  </si>
  <si>
    <t>Reunion en GDL</t>
  </si>
  <si>
    <t>Toma de Protesta de Enrique Alfaro</t>
  </si>
  <si>
    <t>Videoconferencia con la Congregación Marina Trinitaria, Reunión con comerciantes ambulantes, Sesión de Ayuntamiento</t>
  </si>
  <si>
    <t>Reunión con Representantes del laboratorio CHOPO, supervición de Obras en Quila, Sesión comision de Catastro</t>
  </si>
  <si>
    <t>Reunión con Rastro Municipal, Reunión con Personal de la FEU, Reunión con Centro de Salud, DIF y Directores del Ayuntamiento</t>
  </si>
  <si>
    <t>Conmemoración de las Naciones Unidas</t>
  </si>
  <si>
    <t>Caminata en contra del Cancer de mama, visita a comunidad de San Buenaventura, Entrevista en canal 44 en GDL.</t>
  </si>
  <si>
    <t>Reunión en Camara de Diputados a nivel Federal</t>
  </si>
  <si>
    <t>Capacitación a Dirección de Cultura, Reunión con salud digna en GDL</t>
  </si>
  <si>
    <t>Sabado 20 Revisión de Obras del Municipio, Sabado 27 Reunión de Presidentes del Distrito 18  con diputada Irma, Rueda de Prensa en Casa de la Cultura, Domingo 28  Festival del Gis, reunión con director de cultura y Reina del Carnaval.</t>
  </si>
  <si>
    <t>Entrevista con Francisco Ayon,  Reunión con Somos Salaud, Sesión de Ayuntamiento</t>
  </si>
  <si>
    <t xml:space="preserve">Reunión En Camara de Diputados en Mexico. </t>
  </si>
  <si>
    <t>Reunión en Congreso del Estado.</t>
  </si>
  <si>
    <t>Desfile de la Revoclución Mexicana, Carrera Ciclista, Entrega de Mobiliario Escolar por parte de Francisco Ayon</t>
  </si>
  <si>
    <t>Entrevista en Promomedios Radio y Reunión con Diputados del Jalisco</t>
  </si>
  <si>
    <t>Reunión en GDL</t>
  </si>
  <si>
    <t>Cita con Regidora Cecilia,  Reunión con Presidientes en Quila, elección de Agentes de Ambrosio y Alvarado</t>
  </si>
  <si>
    <t>Revisión de parque Vehicular, Elección y toma de Protesta de Delegados y Agentes de Palo alto y Quililla</t>
  </si>
  <si>
    <t>Ignauguración del 36 Aniverario de la Sierra de Quila, entrega de bastones, Asistencia con la Diputada Irma, Sesión de Ayuntamiento, Inauguración de espacios Públicos, Reunion con comité de Sierra de Quila. Domingo 18 Reunión con Directores.</t>
  </si>
  <si>
    <t>Elección de Agencia de San Rafael y Ojo de Agua</t>
  </si>
  <si>
    <t>Reunión con Servidrores Públicos, elección de Agente de los Ailes.</t>
  </si>
  <si>
    <t>Reunión con Funcionarios.</t>
  </si>
  <si>
    <t>Asueto</t>
  </si>
  <si>
    <t>Sesión Ordinaria de Ayuntamiento, citas con funcionarios.</t>
  </si>
  <si>
    <t>Entrega de mobiliario Escolar, Reunión con Funcionarios, cena de recepción Miss Earth 2019</t>
  </si>
  <si>
    <t>sabado 8 Gira a Quila, Reunión con patronato de Carnaval 2019, reunión con Casa Torero, Evento en Quililla, Domingo 16 Desfile de Danza los Tastuanes y visita al Asilo de Tecolotlan, Presentación de la Pastorela, sabado 29 Capacitación  a Regidores, Domingo 30 Sesión de ayuntamiento</t>
  </si>
  <si>
    <t>Sabado 3 elección del delegado de Ayotitlan, Clausura de Dia de Muertos. Sabado 10 toma de Protesta de Delegado de Villegas. Domingo 11 Toma de Protesta del Delegado de Tamazulita, Sabado 17 Carrera ciclista Sierra de Quila, Rueda de Prensa en Casa de la Cultura Sabado 24 inauguración de cancha de futball, inauguración de Liga de Veteranos Dominical.</t>
  </si>
  <si>
    <t>Sesión de Comité de Transparencia, Reunión con lider de Artesanos, Atención a ciudadanos, Reunión con servidores públicos.</t>
  </si>
  <si>
    <t xml:space="preserve">Festejo de Día de Muertos,   Conferencia y Altar de Muertos en Preparatoria, Panteonada </t>
  </si>
  <si>
    <t>Entrga de Sillas de Ruedas, entrevista con Promomedios.</t>
  </si>
  <si>
    <t>Entrega de Mochilas en Teco, Reunión Con DIF Tecolotlán</t>
  </si>
  <si>
    <t>Reunión con consejo de Migrantes Jalisciences,  Gestiones ante el Congreso del Estado</t>
  </si>
  <si>
    <t>Reunión con Gobernador de Jalisco, Reunión en SEDER, Reunión con Regidores</t>
  </si>
  <si>
    <t>Reunión con equipo de ECOS, Reunión con Patronato de Carnaval</t>
  </si>
  <si>
    <t>Reunión con el Patronato de Carnaval, reunión con Obras Públicas</t>
  </si>
  <si>
    <t>Cita en CUValles Ameca, Inauguración de la Feria Gastronómica</t>
  </si>
  <si>
    <t>Reunión con comerciantes de zona centro,  Reunión con  Casa Toreros, reunión con Patronato del DIF y reunión con servidores públicos</t>
  </si>
  <si>
    <t>Reunión con Servidores Públicos.</t>
  </si>
  <si>
    <t>Reunión con Artesanos, recibimiento en la localidad de Villegas.</t>
  </si>
  <si>
    <t>Sesion de Ayuntamiento, reunión con directores y recibimiento en la Delegación de Tamazulita</t>
  </si>
  <si>
    <t>Acto Académico en Preparatoria, entrega de mobiliario en la Delegación de Tamazulita, Obras en Tamazulita, Evento de Miss Earth 2019</t>
  </si>
  <si>
    <t>Reunión con Agentes y  Delegados, entrega de Tinacos, gira en la Delegación de Tamazulita, Reunión con Proteccion Civil.</t>
  </si>
  <si>
    <t>Entrega de mobiliario en la Localidad de Ojo de Agua y Tecolotlán, Calusura de la Feria Gastronómica Artesanal.</t>
  </si>
  <si>
    <t>Gira en la Delegación de Tamazulita, Reunión con locatarios del mercado y evento de Santa Cecilia</t>
  </si>
  <si>
    <t>Reunión de planeación de sierra de Quila, entrega de Bienenvan,  Reunión con Servidores Públicos,  Reunion con Médicos y Proteccion Civil.</t>
  </si>
  <si>
    <t>Reunión con Servidores Publicos, Sesión de Ayuntamiento,  comisión de Regularizacion de Predios y Educación</t>
  </si>
  <si>
    <t>Gira a la Delegación de Quila</t>
  </si>
  <si>
    <t>Entrevista de Radio en 101,5 FM, Radio Costa, Reunion con Servidores Públicos, Radio Teco</t>
  </si>
  <si>
    <t>Entrega de Alambre de Puas, Reunión con Servidores Públicos, Inauguración del Domo de la ETA</t>
  </si>
  <si>
    <t>Reunión informativa del Comité de Salud, Reunión con Contralor y Reunión con directores</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</si>
</sst>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d"/>
  </numFmts>
  <fonts count="38" x14ac:knownFonts="1">
    <font>
      <sz val="10"/>
      <color theme="1"/>
      <name val="Arial"/>
      <family val="2"/>
      <scheme val="minor"/>
    </font>
    <font>
      <sz val="12"/>
      <color rgb="FF002060"/>
      <name val="Arial"/>
      <family val="2"/>
      <scheme val="minor"/>
    </font>
    <font>
      <sz val="8"/>
      <name val="Arial"/>
      <family val="2"/>
      <scheme val="minor"/>
    </font>
    <font>
      <b/>
      <sz val="11"/>
      <color theme="0"/>
      <name val="Arial"/>
      <family val="2"/>
      <scheme val="minor"/>
    </font>
    <font>
      <sz val="11"/>
      <name val="Arial"/>
      <family val="2"/>
      <scheme val="minor"/>
    </font>
    <font>
      <sz val="10"/>
      <color indexed="63"/>
      <name val="Arial"/>
      <family val="4"/>
      <scheme val="minor"/>
    </font>
    <font>
      <b/>
      <sz val="28"/>
      <color theme="1" tint="0.34998626667073579"/>
      <name val="Arial"/>
      <family val="2"/>
      <scheme val="minor"/>
    </font>
    <font>
      <sz val="12"/>
      <color theme="4"/>
      <name val="Arial"/>
      <family val="2"/>
      <scheme val="major"/>
    </font>
    <font>
      <sz val="10"/>
      <color theme="1"/>
      <name val="Arial"/>
      <family val="2"/>
      <scheme val="major"/>
    </font>
    <font>
      <b/>
      <sz val="12"/>
      <color theme="4"/>
      <name val="Arial"/>
      <family val="2"/>
      <scheme val="major"/>
    </font>
    <font>
      <b/>
      <sz val="10"/>
      <color theme="1"/>
      <name val="Arial"/>
      <family val="2"/>
      <scheme val="minor"/>
    </font>
    <font>
      <b/>
      <sz val="12"/>
      <color theme="4"/>
      <name val="Arial"/>
      <family val="2"/>
      <scheme val="minor"/>
    </font>
    <font>
      <sz val="10"/>
      <color theme="0"/>
      <name val="Arial"/>
      <family val="2"/>
      <scheme val="minor"/>
    </font>
    <font>
      <b/>
      <sz val="17"/>
      <color theme="4"/>
      <name val="Arial"/>
      <family val="4"/>
      <scheme val="minor"/>
    </font>
    <font>
      <b/>
      <sz val="8.5"/>
      <color theme="1"/>
      <name val="Arial"/>
      <family val="2"/>
      <scheme val="minor"/>
    </font>
    <font>
      <sz val="8.5"/>
      <color theme="1"/>
      <name val="Arial"/>
      <family val="2"/>
      <scheme val="minor"/>
    </font>
    <font>
      <b/>
      <sz val="17"/>
      <color theme="4"/>
      <name val="Arial"/>
      <family val="2"/>
      <scheme val="major"/>
    </font>
    <font>
      <b/>
      <sz val="8.5"/>
      <color theme="1"/>
      <name val="Arial"/>
      <family val="2"/>
      <scheme val="major"/>
    </font>
    <font>
      <sz val="10"/>
      <color theme="1" tint="0.249977111117893"/>
      <name val="Arial"/>
      <family val="2"/>
      <scheme val="minor"/>
    </font>
    <font>
      <sz val="12"/>
      <color theme="1" tint="0.249977111117893"/>
      <name val="Arial"/>
      <family val="2"/>
      <scheme val="minor"/>
    </font>
    <font>
      <sz val="10.5"/>
      <color theme="1" tint="0.249977111117893"/>
      <name val="Arial"/>
      <family val="2"/>
      <scheme val="minor"/>
    </font>
    <font>
      <b/>
      <sz val="10.5"/>
      <name val="Arial"/>
      <family val="2"/>
      <scheme val="minor"/>
    </font>
    <font>
      <b/>
      <sz val="24"/>
      <color theme="4"/>
      <name val="Arial"/>
      <family val="2"/>
      <scheme val="major"/>
    </font>
    <font>
      <sz val="10"/>
      <color rgb="FFFF0000"/>
      <name val="Arial"/>
      <family val="2"/>
      <scheme val="minor"/>
    </font>
    <font>
      <b/>
      <sz val="24"/>
      <color rgb="FFFF0000"/>
      <name val="Arial"/>
      <family val="2"/>
      <scheme val="major"/>
    </font>
    <font>
      <b/>
      <sz val="17"/>
      <color rgb="FFFF0000"/>
      <name val="Arial"/>
      <family val="2"/>
      <scheme val="major"/>
    </font>
    <font>
      <sz val="10"/>
      <color rgb="FFFF0000"/>
      <name val="Arial"/>
      <family val="2"/>
      <scheme val="major"/>
    </font>
    <font>
      <sz val="10.5"/>
      <color rgb="FFFF0000"/>
      <name val="Arial"/>
      <family val="2"/>
      <scheme val="minor"/>
    </font>
    <font>
      <b/>
      <sz val="12"/>
      <color rgb="FFFF0000"/>
      <name val="Arial"/>
      <family val="2"/>
      <scheme val="major"/>
    </font>
    <font>
      <b/>
      <sz val="10"/>
      <color rgb="FFFF0000"/>
      <name val="Arial"/>
      <family val="2"/>
      <scheme val="minor"/>
    </font>
    <font>
      <b/>
      <sz val="10.5"/>
      <color rgb="FFFF0000"/>
      <name val="Arial"/>
      <family val="2"/>
      <scheme val="minor"/>
    </font>
    <font>
      <b/>
      <sz val="12"/>
      <color rgb="FFFF0000"/>
      <name val="Arial"/>
      <family val="2"/>
      <scheme val="minor"/>
    </font>
    <font>
      <b/>
      <sz val="8.5"/>
      <color rgb="FFFF0000"/>
      <name val="Arial"/>
      <family val="2"/>
      <scheme val="minor"/>
    </font>
    <font>
      <sz val="8.5"/>
      <color rgb="FFFF0000"/>
      <name val="Arial"/>
      <family val="2"/>
      <scheme val="minor"/>
    </font>
    <font>
      <sz val="12"/>
      <color rgb="FFFF0000"/>
      <name val="Arial"/>
      <family val="2"/>
      <scheme val="major"/>
    </font>
    <font>
      <sz val="12"/>
      <color rgb="FFFF0000"/>
      <name val="Arial"/>
      <family val="2"/>
      <scheme val="minor"/>
    </font>
    <font>
      <b/>
      <sz val="10"/>
      <name val="Arial"/>
      <family val="2"/>
      <scheme val="minor"/>
    </font>
    <font>
      <sz val="10"/>
      <name val="Arial"/>
      <family val="2"/>
      <scheme val="minor"/>
    </font>
  </fonts>
  <fills count="6">
    <fill>
      <patternFill patternType="none"/>
    </fill>
    <fill>
      <patternFill patternType="gray125"/>
    </fill>
    <fill>
      <patternFill patternType="solid">
        <fgColor theme="4"/>
      </patternFill>
    </fill>
    <fill>
      <patternFill patternType="solid">
        <fgColor theme="4" tint="0.59999389629810485"/>
        <bgColor indexed="65"/>
      </patternFill>
    </fill>
    <fill>
      <patternFill patternType="solid">
        <fgColor theme="4"/>
        <bgColor indexed="64"/>
      </patternFill>
    </fill>
    <fill>
      <patternFill patternType="solid">
        <fgColor theme="0" tint="-4.9989318521683403E-2"/>
        <bgColor indexed="64"/>
      </patternFill>
    </fill>
  </fills>
  <borders count="47">
    <border>
      <left/>
      <right/>
      <top/>
      <bottom/>
      <diagonal/>
    </border>
    <border>
      <left style="thin">
        <color theme="4" tint="0.39994506668294322"/>
      </left>
      <right style="thin">
        <color theme="4" tint="0.39994506668294322"/>
      </right>
      <top style="thin">
        <color theme="4" tint="0.39994506668294322"/>
      </top>
      <bottom style="thin">
        <color theme="4" tint="0.39994506668294322"/>
      </bottom>
      <diagonal/>
    </border>
    <border>
      <left/>
      <right/>
      <top/>
      <bottom style="thin">
        <color theme="5"/>
      </bottom>
      <diagonal/>
    </border>
    <border>
      <left/>
      <right/>
      <top style="thin">
        <color theme="5"/>
      </top>
      <bottom style="thin">
        <color theme="5"/>
      </bottom>
      <diagonal/>
    </border>
    <border>
      <left/>
      <right/>
      <top/>
      <bottom style="thin">
        <color theme="4" tint="0.79998168889431442"/>
      </bottom>
      <diagonal/>
    </border>
    <border>
      <left/>
      <right/>
      <top style="thin">
        <color theme="5"/>
      </top>
      <bottom style="thin">
        <color theme="4" tint="0.79998168889431442"/>
      </bottom>
      <diagonal/>
    </border>
    <border>
      <left/>
      <right style="thin">
        <color theme="0"/>
      </right>
      <top/>
      <bottom/>
      <diagonal/>
    </border>
    <border>
      <left style="thin">
        <color theme="4" tint="0.79998168889431442"/>
      </left>
      <right/>
      <top/>
      <bottom/>
      <diagonal/>
    </border>
    <border>
      <left style="thin">
        <color theme="4" tint="0.79998168889431442"/>
      </left>
      <right style="thin">
        <color theme="0"/>
      </right>
      <top/>
      <bottom/>
      <diagonal/>
    </border>
    <border>
      <left/>
      <right style="thin">
        <color theme="4" tint="0.79998168889431442"/>
      </right>
      <top/>
      <bottom/>
      <diagonal/>
    </border>
    <border>
      <left style="thin">
        <color theme="0"/>
      </left>
      <right/>
      <top/>
      <bottom/>
      <diagonal/>
    </border>
    <border>
      <left style="thin">
        <color theme="4" tint="0.79998168889431442"/>
      </left>
      <right style="thin">
        <color theme="0"/>
      </right>
      <top/>
      <bottom style="thin">
        <color theme="4" tint="0.79995117038483843"/>
      </bottom>
      <diagonal/>
    </border>
    <border>
      <left style="thin">
        <color theme="0"/>
      </left>
      <right/>
      <top/>
      <bottom style="thin">
        <color theme="4" tint="0.79995117038483843"/>
      </bottom>
      <diagonal/>
    </border>
    <border>
      <left/>
      <right style="thin">
        <color theme="0"/>
      </right>
      <top/>
      <bottom style="thin">
        <color theme="4" tint="0.79995117038483843"/>
      </bottom>
      <diagonal/>
    </border>
    <border>
      <left/>
      <right/>
      <top/>
      <bottom style="thin">
        <color theme="4" tint="0.79995117038483843"/>
      </bottom>
      <diagonal/>
    </border>
    <border>
      <left/>
      <right style="thin">
        <color theme="4" tint="0.79992065187536243"/>
      </right>
      <top/>
      <bottom style="thin">
        <color theme="4" tint="0.79995117038483843"/>
      </bottom>
      <diagonal/>
    </border>
    <border>
      <left/>
      <right style="thin">
        <color theme="4" tint="0.79992065187536243"/>
      </right>
      <top/>
      <bottom/>
      <diagonal/>
    </border>
    <border>
      <left/>
      <right/>
      <top style="thin">
        <color theme="4" tint="0.79998168889431442"/>
      </top>
      <bottom style="thin">
        <color theme="5"/>
      </bottom>
      <diagonal/>
    </border>
    <border>
      <left/>
      <right style="thin">
        <color theme="4" tint="0.79995117038483843"/>
      </right>
      <top style="thin">
        <color theme="5"/>
      </top>
      <bottom style="thin">
        <color theme="5"/>
      </bottom>
      <diagonal/>
    </border>
    <border>
      <left/>
      <right style="thin">
        <color theme="4" tint="0.79995117038483843"/>
      </right>
      <top style="thin">
        <color theme="4" tint="0.79998168889431442"/>
      </top>
      <bottom style="thin">
        <color theme="5"/>
      </bottom>
      <diagonal/>
    </border>
    <border>
      <left/>
      <right style="thin">
        <color theme="4" tint="0.79995117038483843"/>
      </right>
      <top style="thin">
        <color theme="5"/>
      </top>
      <bottom style="thin">
        <color theme="4" tint="0.79998168889431442"/>
      </bottom>
      <diagonal/>
    </border>
    <border>
      <left style="thin">
        <color theme="4" tint="0.79998168889431442"/>
      </left>
      <right style="thin">
        <color theme="0"/>
      </right>
      <top/>
      <bottom style="thin">
        <color theme="0"/>
      </bottom>
      <diagonal/>
    </border>
    <border>
      <left style="thin">
        <color theme="0"/>
      </left>
      <right/>
      <top/>
      <bottom style="thin">
        <color theme="0"/>
      </bottom>
      <diagonal/>
    </border>
    <border>
      <left/>
      <right style="thin">
        <color theme="0"/>
      </right>
      <top/>
      <bottom style="thin">
        <color theme="0"/>
      </bottom>
      <diagonal/>
    </border>
    <border>
      <left style="thin">
        <color theme="4" tint="0.79998168889431442"/>
      </left>
      <right style="thin">
        <color theme="0"/>
      </right>
      <top style="thin">
        <color theme="0"/>
      </top>
      <bottom/>
      <diagonal/>
    </border>
    <border>
      <left style="thin">
        <color theme="0"/>
      </left>
      <right/>
      <top style="thin">
        <color theme="0"/>
      </top>
      <bottom/>
      <diagonal/>
    </border>
    <border>
      <left/>
      <right style="thin">
        <color theme="0"/>
      </right>
      <top style="thin">
        <color theme="0"/>
      </top>
      <bottom/>
      <diagonal/>
    </border>
    <border>
      <left/>
      <right style="thin">
        <color theme="4" tint="0.79992065187536243"/>
      </right>
      <top/>
      <bottom style="thin">
        <color theme="0"/>
      </bottom>
      <diagonal/>
    </border>
    <border>
      <left/>
      <right style="thin">
        <color theme="4" tint="0.79992065187536243"/>
      </right>
      <top style="thin">
        <color theme="0"/>
      </top>
      <bottom/>
      <diagonal/>
    </border>
    <border>
      <left style="thin">
        <color theme="4" tint="0.79992065187536243"/>
      </left>
      <right/>
      <top/>
      <bottom/>
      <diagonal/>
    </border>
    <border>
      <left style="thin">
        <color theme="4" tint="0.79992065187536243"/>
      </left>
      <right/>
      <top/>
      <bottom style="thin">
        <color theme="4" tint="0.79989013336588644"/>
      </bottom>
      <diagonal/>
    </border>
    <border>
      <left/>
      <right/>
      <top/>
      <bottom style="thin">
        <color theme="4" tint="0.79989013336588644"/>
      </bottom>
      <diagonal/>
    </border>
    <border>
      <left/>
      <right style="thin">
        <color theme="4" tint="0.79989013336588644"/>
      </right>
      <top/>
      <bottom style="thin">
        <color theme="4" tint="0.79989013336588644"/>
      </bottom>
      <diagonal/>
    </border>
    <border>
      <left style="thin">
        <color theme="4" tint="0.79992065187536243"/>
      </left>
      <right/>
      <top style="thin">
        <color theme="4" tint="0.79989013336588644"/>
      </top>
      <bottom/>
      <diagonal/>
    </border>
    <border>
      <left/>
      <right/>
      <top style="thin">
        <color theme="4" tint="0.79989013336588644"/>
      </top>
      <bottom/>
      <diagonal/>
    </border>
    <border>
      <left/>
      <right style="thin">
        <color theme="4" tint="0.79989013336588644"/>
      </right>
      <top style="thin">
        <color theme="4" tint="0.79989013336588644"/>
      </top>
      <bottom/>
      <diagonal/>
    </border>
    <border>
      <left style="thin">
        <color theme="4" tint="0.79992065187536243"/>
      </left>
      <right/>
      <top style="thin">
        <color theme="4" tint="0.79998168889431442"/>
      </top>
      <bottom/>
      <diagonal/>
    </border>
    <border>
      <left/>
      <right/>
      <top style="thin">
        <color theme="4" tint="0.79989013336588644"/>
      </top>
      <bottom style="thin">
        <color theme="5"/>
      </bottom>
      <diagonal/>
    </border>
    <border>
      <left/>
      <right style="thin">
        <color theme="4" tint="0.79995117038483843"/>
      </right>
      <top style="thin">
        <color theme="4" tint="0.79989013336588644"/>
      </top>
      <bottom style="thin">
        <color theme="5"/>
      </bottom>
      <diagonal/>
    </border>
    <border>
      <left style="thin">
        <color theme="4" tint="0.79998168889431442"/>
      </left>
      <right/>
      <top style="thin">
        <color theme="4" tint="0.79995117038483843"/>
      </top>
      <bottom/>
      <diagonal/>
    </border>
    <border>
      <left/>
      <right/>
      <top style="thin">
        <color theme="4" tint="0.79995117038483843"/>
      </top>
      <bottom/>
      <diagonal/>
    </border>
    <border>
      <left/>
      <right style="thin">
        <color theme="4" tint="0.79992065187536243"/>
      </right>
      <top style="thin">
        <color theme="4" tint="0.79995117038483843"/>
      </top>
      <bottom/>
      <diagonal/>
    </border>
    <border>
      <left style="thin">
        <color theme="4" tint="0.79998168889431442"/>
      </left>
      <right/>
      <top/>
      <bottom style="thin">
        <color theme="4" tint="0.79995117038483843"/>
      </bottom>
      <diagonal/>
    </border>
    <border>
      <left/>
      <right style="thin">
        <color theme="4" tint="0.79985961485641044"/>
      </right>
      <top style="thin">
        <color theme="4" tint="0.79985961485641044"/>
      </top>
      <bottom/>
      <diagonal/>
    </border>
    <border>
      <left/>
      <right style="thin">
        <color theme="4" tint="0.79985961485641044"/>
      </right>
      <top/>
      <bottom style="thin">
        <color theme="4" tint="0.79989013336588644"/>
      </bottom>
      <diagonal/>
    </border>
    <border>
      <left style="thin">
        <color theme="4" tint="0.79998168889431442"/>
      </left>
      <right/>
      <top style="thin">
        <color theme="0"/>
      </top>
      <bottom/>
      <diagonal/>
    </border>
    <border>
      <left/>
      <right/>
      <top style="thin">
        <color theme="0"/>
      </top>
      <bottom/>
      <diagonal/>
    </border>
  </borders>
  <cellStyleXfs count="5">
    <xf numFmtId="0" fontId="0" fillId="0" borderId="0"/>
    <xf numFmtId="0" fontId="4" fillId="0" borderId="0"/>
    <xf numFmtId="0" fontId="3" fillId="2" borderId="1" applyNumberFormat="0" applyAlignment="0" applyProtection="0"/>
    <xf numFmtId="0" fontId="5" fillId="3" borderId="0" applyNumberFormat="0" applyBorder="0" applyAlignment="0" applyProtection="0"/>
    <xf numFmtId="0" fontId="6" fillId="0" borderId="0" applyNumberFormat="0" applyFill="0" applyAlignment="0" applyProtection="0"/>
  </cellStyleXfs>
  <cellXfs count="176">
    <xf numFmtId="0" fontId="0" fillId="0" borderId="0" xfId="0"/>
    <xf numFmtId="0" fontId="0" fillId="0" borderId="0" xfId="0" applyFont="1"/>
    <xf numFmtId="0" fontId="8" fillId="0" borderId="0" xfId="0" applyFont="1" applyFill="1" applyBorder="1" applyAlignment="1">
      <alignment horizontal="center" vertical="center"/>
    </xf>
    <xf numFmtId="0" fontId="12" fillId="4" borderId="8" xfId="0" applyFont="1" applyFill="1" applyBorder="1" applyAlignment="1">
      <alignment horizontal="left" indent="1"/>
    </xf>
    <xf numFmtId="0" fontId="0" fillId="0" borderId="9" xfId="0" applyFont="1" applyBorder="1"/>
    <xf numFmtId="0" fontId="0" fillId="0" borderId="16" xfId="0" applyFont="1" applyBorder="1"/>
    <xf numFmtId="0" fontId="15" fillId="5" borderId="21" xfId="0" applyFont="1" applyFill="1" applyBorder="1" applyAlignment="1">
      <alignment horizontal="left" vertical="top" indent="1"/>
    </xf>
    <xf numFmtId="0" fontId="15" fillId="5" borderId="11" xfId="0" applyFont="1" applyFill="1" applyBorder="1" applyAlignment="1">
      <alignment horizontal="left" vertical="top" indent="1"/>
    </xf>
    <xf numFmtId="49" fontId="14" fillId="5" borderId="8" xfId="0" applyNumberFormat="1" applyFont="1" applyFill="1" applyBorder="1" applyAlignment="1">
      <alignment horizontal="left" indent="1"/>
    </xf>
    <xf numFmtId="49" fontId="14" fillId="5" borderId="24" xfId="0" applyNumberFormat="1" applyFont="1" applyFill="1" applyBorder="1" applyAlignment="1">
      <alignment horizontal="left" indent="1"/>
    </xf>
    <xf numFmtId="164" fontId="20" fillId="0" borderId="0" xfId="0" applyNumberFormat="1" applyFont="1" applyFill="1" applyBorder="1" applyAlignment="1">
      <alignment horizontal="center" vertical="center" wrapText="1"/>
    </xf>
    <xf numFmtId="0" fontId="9" fillId="0" borderId="0" xfId="0" applyFont="1" applyBorder="1" applyAlignment="1">
      <alignment horizontal="right" vertical="center" textRotation="90"/>
    </xf>
    <xf numFmtId="0" fontId="10" fillId="0" borderId="0" xfId="0" applyFont="1" applyBorder="1" applyAlignment="1">
      <alignment horizontal="right" vertical="center"/>
    </xf>
    <xf numFmtId="0" fontId="10" fillId="0" borderId="4" xfId="0" applyFont="1" applyBorder="1" applyAlignment="1">
      <alignment horizontal="right" vertical="center"/>
    </xf>
    <xf numFmtId="0" fontId="7" fillId="0" borderId="0" xfId="0" applyFont="1" applyBorder="1" applyAlignment="1">
      <alignment horizontal="right" vertical="center" textRotation="90"/>
    </xf>
    <xf numFmtId="164" fontId="1" fillId="0" borderId="14" xfId="0" applyNumberFormat="1" applyFont="1" applyFill="1" applyBorder="1" applyAlignment="1">
      <alignment horizontal="right" vertical="center"/>
    </xf>
    <xf numFmtId="0" fontId="10" fillId="0" borderId="2" xfId="0" applyFont="1" applyBorder="1" applyAlignment="1">
      <alignment horizontal="center"/>
    </xf>
    <xf numFmtId="0" fontId="10" fillId="0" borderId="3" xfId="0" applyFont="1" applyBorder="1" applyAlignment="1">
      <alignment horizontal="center"/>
    </xf>
    <xf numFmtId="0" fontId="10" fillId="0" borderId="5" xfId="0" applyFont="1" applyBorder="1" applyAlignment="1">
      <alignment horizontal="center"/>
    </xf>
    <xf numFmtId="0" fontId="10" fillId="0" borderId="4" xfId="0" applyFont="1" applyBorder="1" applyAlignment="1">
      <alignment horizontal="center"/>
    </xf>
    <xf numFmtId="164" fontId="10" fillId="0" borderId="14" xfId="0" applyNumberFormat="1" applyFont="1" applyFill="1" applyBorder="1" applyAlignment="1">
      <alignment horizontal="center"/>
    </xf>
    <xf numFmtId="0" fontId="0" fillId="0" borderId="40" xfId="0" applyFont="1" applyBorder="1"/>
    <xf numFmtId="0" fontId="0" fillId="0" borderId="41" xfId="0" applyFont="1" applyBorder="1"/>
    <xf numFmtId="164" fontId="21" fillId="0" borderId="14" xfId="0" applyNumberFormat="1" applyFont="1" applyFill="1" applyBorder="1" applyAlignment="1">
      <alignment horizontal="left" vertical="center" wrapText="1" indent="1"/>
    </xf>
    <xf numFmtId="0" fontId="0" fillId="0" borderId="15" xfId="0" applyFont="1" applyBorder="1"/>
    <xf numFmtId="0" fontId="0" fillId="0" borderId="43" xfId="0" applyFont="1" applyBorder="1"/>
    <xf numFmtId="0" fontId="0" fillId="0" borderId="44" xfId="0" applyFont="1" applyBorder="1"/>
    <xf numFmtId="0" fontId="23" fillId="0" borderId="0" xfId="0" applyFont="1"/>
    <xf numFmtId="0" fontId="23" fillId="0" borderId="9" xfId="0" applyFont="1" applyBorder="1"/>
    <xf numFmtId="0" fontId="23" fillId="0" borderId="40" xfId="0" applyFont="1" applyBorder="1"/>
    <xf numFmtId="0" fontId="23" fillId="0" borderId="41" xfId="0" applyFont="1" applyBorder="1"/>
    <xf numFmtId="0" fontId="23" fillId="0" borderId="43" xfId="0" applyFont="1" applyBorder="1"/>
    <xf numFmtId="0" fontId="26" fillId="0" borderId="0" xfId="0" applyFont="1" applyFill="1" applyBorder="1" applyAlignment="1">
      <alignment horizontal="center" vertical="center"/>
    </xf>
    <xf numFmtId="0" fontId="23" fillId="0" borderId="16" xfId="0" applyFont="1" applyBorder="1"/>
    <xf numFmtId="0" fontId="23" fillId="0" borderId="44" xfId="0" applyFont="1" applyBorder="1"/>
    <xf numFmtId="164" fontId="27" fillId="0" borderId="0" xfId="0" applyNumberFormat="1" applyFont="1" applyFill="1" applyBorder="1" applyAlignment="1">
      <alignment horizontal="center" vertical="center" wrapText="1"/>
    </xf>
    <xf numFmtId="0" fontId="29" fillId="0" borderId="3" xfId="0" applyFont="1" applyBorder="1" applyAlignment="1">
      <alignment horizontal="center"/>
    </xf>
    <xf numFmtId="0" fontId="28" fillId="0" borderId="0" xfId="0" applyFont="1" applyBorder="1" applyAlignment="1">
      <alignment horizontal="right" vertical="center" textRotation="90"/>
    </xf>
    <xf numFmtId="0" fontId="29" fillId="0" borderId="0" xfId="0" applyFont="1" applyBorder="1" applyAlignment="1">
      <alignment horizontal="right" vertical="center"/>
    </xf>
    <xf numFmtId="164" fontId="30" fillId="0" borderId="14" xfId="0" applyNumberFormat="1" applyFont="1" applyFill="1" applyBorder="1" applyAlignment="1">
      <alignment horizontal="left" vertical="center" wrapText="1" indent="1"/>
    </xf>
    <xf numFmtId="0" fontId="23" fillId="0" borderId="15" xfId="0" applyFont="1" applyBorder="1"/>
    <xf numFmtId="0" fontId="23" fillId="4" borderId="8" xfId="0" applyFont="1" applyFill="1" applyBorder="1" applyAlignment="1">
      <alignment horizontal="left" indent="1"/>
    </xf>
    <xf numFmtId="49" fontId="32" fillId="5" borderId="8" xfId="0" applyNumberFormat="1" applyFont="1" applyFill="1" applyBorder="1" applyAlignment="1">
      <alignment horizontal="left" indent="1"/>
    </xf>
    <xf numFmtId="0" fontId="33" fillId="5" borderId="21" xfId="0" applyFont="1" applyFill="1" applyBorder="1" applyAlignment="1">
      <alignment horizontal="left" vertical="top" indent="1"/>
    </xf>
    <xf numFmtId="0" fontId="29" fillId="0" borderId="4" xfId="0" applyFont="1" applyBorder="1" applyAlignment="1">
      <alignment horizontal="right" vertical="center"/>
    </xf>
    <xf numFmtId="49" fontId="32" fillId="5" borderId="24" xfId="0" applyNumberFormat="1" applyFont="1" applyFill="1" applyBorder="1" applyAlignment="1">
      <alignment horizontal="left" indent="1"/>
    </xf>
    <xf numFmtId="0" fontId="34" fillId="0" borderId="0" xfId="0" applyFont="1" applyBorder="1" applyAlignment="1">
      <alignment horizontal="right" vertical="center" textRotation="90"/>
    </xf>
    <xf numFmtId="0" fontId="33" fillId="5" borderId="11" xfId="0" applyFont="1" applyFill="1" applyBorder="1" applyAlignment="1">
      <alignment horizontal="left" vertical="top" indent="1"/>
    </xf>
    <xf numFmtId="164" fontId="35" fillId="0" borderId="14" xfId="0" applyNumberFormat="1" applyFont="1" applyFill="1" applyBorder="1" applyAlignment="1">
      <alignment horizontal="right" vertical="center"/>
    </xf>
    <xf numFmtId="164" fontId="29" fillId="0" borderId="14" xfId="0" applyNumberFormat="1" applyFont="1" applyFill="1" applyBorder="1" applyAlignment="1">
      <alignment horizontal="center"/>
    </xf>
    <xf numFmtId="0" fontId="36" fillId="0" borderId="2" xfId="0" applyFont="1" applyBorder="1" applyAlignment="1">
      <alignment horizontal="center"/>
    </xf>
    <xf numFmtId="0" fontId="36" fillId="0" borderId="3" xfId="0" applyFont="1" applyBorder="1" applyAlignment="1">
      <alignment horizontal="center"/>
    </xf>
    <xf numFmtId="0" fontId="36" fillId="0" borderId="5" xfId="0" applyFont="1" applyBorder="1" applyAlignment="1">
      <alignment horizontal="center"/>
    </xf>
    <xf numFmtId="0" fontId="36" fillId="0" borderId="4" xfId="0" applyFont="1" applyBorder="1" applyAlignment="1">
      <alignment horizontal="center"/>
    </xf>
    <xf numFmtId="164" fontId="36" fillId="0" borderId="14" xfId="0" applyNumberFormat="1" applyFont="1" applyFill="1" applyBorder="1" applyAlignment="1">
      <alignment horizontal="center"/>
    </xf>
    <xf numFmtId="0" fontId="37" fillId="0" borderId="18" xfId="0" applyFont="1" applyBorder="1" applyAlignment="1"/>
    <xf numFmtId="0" fontId="37" fillId="0" borderId="0" xfId="0" applyFont="1"/>
    <xf numFmtId="0" fontId="37" fillId="0" borderId="3" xfId="0" applyFont="1" applyBorder="1" applyAlignment="1">
      <alignment horizontal="center" vertical="center" wrapText="1"/>
    </xf>
    <xf numFmtId="0" fontId="37" fillId="0" borderId="3" xfId="0" applyFont="1" applyBorder="1" applyAlignment="1">
      <alignment vertical="center" wrapText="1"/>
    </xf>
    <xf numFmtId="0" fontId="37" fillId="0" borderId="18" xfId="0" applyFont="1" applyBorder="1" applyAlignment="1">
      <alignment vertical="center" wrapText="1"/>
    </xf>
    <xf numFmtId="0" fontId="37" fillId="0" borderId="0" xfId="0" applyFont="1" applyAlignment="1">
      <alignment horizontal="left" vertical="center"/>
    </xf>
    <xf numFmtId="0" fontId="9" fillId="0" borderId="36" xfId="0" applyFont="1" applyBorder="1" applyAlignment="1">
      <alignment vertical="center" textRotation="90"/>
    </xf>
    <xf numFmtId="0" fontId="9" fillId="0" borderId="29" xfId="0" applyFont="1" applyBorder="1" applyAlignment="1">
      <alignment vertical="center" textRotation="90"/>
    </xf>
    <xf numFmtId="0" fontId="18" fillId="0" borderId="3" xfId="0" applyFont="1" applyBorder="1" applyAlignment="1">
      <alignment horizontal="left"/>
    </xf>
    <xf numFmtId="0" fontId="18" fillId="0" borderId="18" xfId="0" applyFont="1" applyBorder="1" applyAlignment="1">
      <alignment horizontal="left"/>
    </xf>
    <xf numFmtId="0" fontId="18" fillId="0" borderId="5" xfId="0" applyFont="1" applyBorder="1" applyAlignment="1">
      <alignment horizontal="left"/>
    </xf>
    <xf numFmtId="0" fontId="18" fillId="0" borderId="20" xfId="0" applyFont="1" applyBorder="1" applyAlignment="1">
      <alignment horizontal="left"/>
    </xf>
    <xf numFmtId="0" fontId="18" fillId="0" borderId="17" xfId="0" applyFont="1" applyBorder="1" applyAlignment="1">
      <alignment horizontal="left"/>
    </xf>
    <xf numFmtId="0" fontId="18" fillId="0" borderId="19" xfId="0" applyFont="1" applyBorder="1" applyAlignment="1">
      <alignment horizontal="left"/>
    </xf>
    <xf numFmtId="0" fontId="9" fillId="0" borderId="36" xfId="0" applyFont="1" applyBorder="1" applyAlignment="1">
      <alignment horizontal="right" vertical="center" textRotation="90"/>
    </xf>
    <xf numFmtId="0" fontId="9" fillId="0" borderId="29" xfId="0" applyFont="1" applyBorder="1" applyAlignment="1">
      <alignment horizontal="right" vertical="center" textRotation="90"/>
    </xf>
    <xf numFmtId="0" fontId="12" fillId="4" borderId="10" xfId="0" applyFont="1" applyFill="1" applyBorder="1" applyAlignment="1">
      <alignment horizontal="left" indent="1"/>
    </xf>
    <xf numFmtId="0" fontId="12" fillId="4" borderId="16" xfId="0" applyFont="1" applyFill="1" applyBorder="1" applyAlignment="1">
      <alignment horizontal="left" indent="1"/>
    </xf>
    <xf numFmtId="0" fontId="12" fillId="4" borderId="6" xfId="0" applyFont="1" applyFill="1" applyBorder="1" applyAlignment="1">
      <alignment horizontal="left" indent="1"/>
    </xf>
    <xf numFmtId="0" fontId="16" fillId="0" borderId="33" xfId="0" applyFont="1" applyBorder="1" applyAlignment="1">
      <alignment horizontal="left" vertical="center" indent="2"/>
    </xf>
    <xf numFmtId="0" fontId="16" fillId="0" borderId="34" xfId="0" applyFont="1" applyBorder="1" applyAlignment="1">
      <alignment horizontal="left" vertical="center" indent="2"/>
    </xf>
    <xf numFmtId="0" fontId="16" fillId="0" borderId="30" xfId="0" applyFont="1" applyBorder="1" applyAlignment="1">
      <alignment horizontal="left" vertical="center" indent="2"/>
    </xf>
    <xf numFmtId="0" fontId="16" fillId="0" borderId="31" xfId="0" applyFont="1" applyBorder="1" applyAlignment="1">
      <alignment horizontal="left" vertical="center" indent="2"/>
    </xf>
    <xf numFmtId="0" fontId="9" fillId="0" borderId="33" xfId="0" applyFont="1" applyBorder="1" applyAlignment="1">
      <alignment horizontal="right" vertical="center" textRotation="90"/>
    </xf>
    <xf numFmtId="0" fontId="18" fillId="0" borderId="37" xfId="0" applyFont="1" applyBorder="1" applyAlignment="1">
      <alignment horizontal="left"/>
    </xf>
    <xf numFmtId="0" fontId="18" fillId="0" borderId="38" xfId="0" applyFont="1" applyBorder="1" applyAlignment="1">
      <alignment horizontal="left"/>
    </xf>
    <xf numFmtId="0" fontId="13" fillId="0" borderId="35" xfId="0" applyFont="1" applyFill="1" applyBorder="1" applyAlignment="1">
      <alignment vertical="center"/>
    </xf>
    <xf numFmtId="0" fontId="13" fillId="0" borderId="32" xfId="0" applyFont="1" applyFill="1" applyBorder="1" applyAlignment="1">
      <alignment vertical="center"/>
    </xf>
    <xf numFmtId="0" fontId="15" fillId="5" borderId="22" xfId="0" applyFont="1" applyFill="1" applyBorder="1" applyAlignment="1">
      <alignment horizontal="left" vertical="top" indent="1"/>
    </xf>
    <xf numFmtId="0" fontId="15" fillId="5" borderId="23" xfId="0" applyFont="1" applyFill="1" applyBorder="1" applyAlignment="1">
      <alignment horizontal="left" vertical="top" indent="1"/>
    </xf>
    <xf numFmtId="49" fontId="14" fillId="5" borderId="10" xfId="0" applyNumberFormat="1" applyFont="1" applyFill="1" applyBorder="1" applyAlignment="1">
      <alignment horizontal="left" indent="1"/>
    </xf>
    <xf numFmtId="49" fontId="14" fillId="5" borderId="6" xfId="0" applyNumberFormat="1" applyFont="1" applyFill="1" applyBorder="1" applyAlignment="1">
      <alignment horizontal="left" indent="1"/>
    </xf>
    <xf numFmtId="49" fontId="14" fillId="5" borderId="25" xfId="0" applyNumberFormat="1" applyFont="1" applyFill="1" applyBorder="1" applyAlignment="1">
      <alignment horizontal="left" indent="1"/>
    </xf>
    <xf numFmtId="49" fontId="14" fillId="5" borderId="26" xfId="0" applyNumberFormat="1" applyFont="1" applyFill="1" applyBorder="1" applyAlignment="1">
      <alignment horizontal="left" indent="1"/>
    </xf>
    <xf numFmtId="0" fontId="15" fillId="5" borderId="12" xfId="0" applyFont="1" applyFill="1" applyBorder="1" applyAlignment="1">
      <alignment horizontal="left" vertical="top" indent="1"/>
    </xf>
    <xf numFmtId="0" fontId="15" fillId="5" borderId="13" xfId="0" applyFont="1" applyFill="1" applyBorder="1" applyAlignment="1">
      <alignment horizontal="left" vertical="top" indent="1"/>
    </xf>
    <xf numFmtId="164" fontId="15" fillId="5" borderId="22" xfId="0" applyNumberFormat="1" applyFont="1" applyFill="1" applyBorder="1" applyAlignment="1">
      <alignment horizontal="left" vertical="top" indent="1"/>
    </xf>
    <xf numFmtId="164" fontId="15" fillId="5" borderId="27" xfId="0" applyNumberFormat="1" applyFont="1" applyFill="1" applyBorder="1" applyAlignment="1">
      <alignment horizontal="left" vertical="top" indent="1"/>
    </xf>
    <xf numFmtId="49" fontId="14" fillId="5" borderId="28" xfId="0" applyNumberFormat="1" applyFont="1" applyFill="1" applyBorder="1" applyAlignment="1">
      <alignment horizontal="left" indent="1"/>
    </xf>
    <xf numFmtId="49" fontId="14" fillId="5" borderId="16" xfId="0" applyNumberFormat="1" applyFont="1" applyFill="1" applyBorder="1" applyAlignment="1">
      <alignment horizontal="left" indent="1"/>
    </xf>
    <xf numFmtId="49" fontId="14" fillId="5" borderId="10" xfId="0" applyNumberFormat="1" applyFont="1" applyFill="1" applyBorder="1" applyAlignment="1">
      <alignment horizontal="left" vertical="center" indent="1"/>
    </xf>
    <xf numFmtId="49" fontId="14" fillId="5" borderId="16" xfId="0" applyNumberFormat="1" applyFont="1" applyFill="1" applyBorder="1" applyAlignment="1">
      <alignment horizontal="left" vertical="center" indent="1"/>
    </xf>
    <xf numFmtId="0" fontId="17" fillId="5" borderId="22" xfId="0" applyFont="1" applyFill="1" applyBorder="1" applyAlignment="1">
      <alignment horizontal="left" vertical="top" indent="1"/>
    </xf>
    <xf numFmtId="0" fontId="17" fillId="5" borderId="27" xfId="0" applyFont="1" applyFill="1" applyBorder="1" applyAlignment="1">
      <alignment horizontal="left" vertical="top" indent="1"/>
    </xf>
    <xf numFmtId="0" fontId="15" fillId="5" borderId="27" xfId="0" applyFont="1" applyFill="1" applyBorder="1" applyAlignment="1">
      <alignment horizontal="left" vertical="top" indent="1"/>
    </xf>
    <xf numFmtId="0" fontId="22" fillId="0" borderId="39" xfId="0" applyFont="1" applyFill="1" applyBorder="1" applyAlignment="1">
      <alignment horizontal="center" vertical="center" textRotation="90"/>
    </xf>
    <xf numFmtId="0" fontId="22" fillId="0" borderId="7" xfId="0" applyFont="1" applyFill="1" applyBorder="1" applyAlignment="1">
      <alignment horizontal="center" vertical="center" textRotation="90"/>
    </xf>
    <xf numFmtId="0" fontId="22" fillId="0" borderId="42" xfId="0" applyFont="1" applyFill="1" applyBorder="1" applyAlignment="1">
      <alignment horizontal="center" vertical="center" textRotation="90"/>
    </xf>
    <xf numFmtId="0" fontId="11" fillId="0" borderId="7" xfId="0" applyFont="1" applyBorder="1" applyAlignment="1">
      <alignment horizontal="left" vertical="center"/>
    </xf>
    <xf numFmtId="0" fontId="11" fillId="0" borderId="0" xfId="0" applyFont="1" applyAlignment="1">
      <alignment horizontal="left" vertical="center"/>
    </xf>
    <xf numFmtId="0" fontId="11" fillId="0" borderId="16" xfId="0" applyFont="1" applyBorder="1" applyAlignment="1">
      <alignment horizontal="left" vertical="center"/>
    </xf>
    <xf numFmtId="164" fontId="19" fillId="0" borderId="5" xfId="0" applyNumberFormat="1" applyFont="1" applyFill="1" applyBorder="1" applyAlignment="1">
      <alignment horizontal="left"/>
    </xf>
    <xf numFmtId="164" fontId="19" fillId="0" borderId="20" xfId="0" applyNumberFormat="1" applyFont="1" applyFill="1" applyBorder="1" applyAlignment="1">
      <alignment horizontal="left"/>
    </xf>
    <xf numFmtId="49" fontId="17" fillId="5" borderId="10" xfId="0" applyNumberFormat="1" applyFont="1" applyFill="1" applyBorder="1" applyAlignment="1">
      <alignment horizontal="left" indent="1"/>
    </xf>
    <xf numFmtId="49" fontId="17" fillId="5" borderId="16" xfId="0" applyNumberFormat="1" applyFont="1" applyFill="1" applyBorder="1" applyAlignment="1">
      <alignment horizontal="left" indent="1"/>
    </xf>
    <xf numFmtId="164" fontId="15" fillId="5" borderId="12" xfId="0" applyNumberFormat="1" applyFont="1" applyFill="1" applyBorder="1" applyAlignment="1">
      <alignment horizontal="left" vertical="top" indent="1"/>
    </xf>
    <xf numFmtId="164" fontId="15" fillId="5" borderId="15" xfId="0" applyNumberFormat="1" applyFont="1" applyFill="1" applyBorder="1" applyAlignment="1">
      <alignment horizontal="left" vertical="top" indent="1"/>
    </xf>
    <xf numFmtId="0" fontId="28" fillId="0" borderId="36" xfId="0" applyFont="1" applyBorder="1" applyAlignment="1">
      <alignment horizontal="right" vertical="center" textRotation="90"/>
    </xf>
    <xf numFmtId="0" fontId="28" fillId="0" borderId="29" xfId="0" applyFont="1" applyBorder="1" applyAlignment="1">
      <alignment horizontal="right" vertical="center" textRotation="90"/>
    </xf>
    <xf numFmtId="0" fontId="37" fillId="0" borderId="3" xfId="0" applyFont="1" applyBorder="1" applyAlignment="1">
      <alignment horizontal="left"/>
    </xf>
    <xf numFmtId="0" fontId="37" fillId="0" borderId="18" xfId="0" applyFont="1" applyBorder="1" applyAlignment="1">
      <alignment horizontal="left"/>
    </xf>
    <xf numFmtId="0" fontId="37" fillId="0" borderId="3" xfId="0" applyFont="1" applyBorder="1" applyAlignment="1">
      <alignment horizontal="left" vertical="top" wrapText="1"/>
    </xf>
    <xf numFmtId="0" fontId="37" fillId="0" borderId="18" xfId="0" applyFont="1" applyBorder="1" applyAlignment="1">
      <alignment horizontal="left" vertical="top" wrapText="1"/>
    </xf>
    <xf numFmtId="0" fontId="37" fillId="0" borderId="5" xfId="0" applyFont="1" applyBorder="1" applyAlignment="1">
      <alignment horizontal="left"/>
    </xf>
    <xf numFmtId="0" fontId="37" fillId="0" borderId="20" xfId="0" applyFont="1" applyBorder="1" applyAlignment="1">
      <alignment horizontal="left"/>
    </xf>
    <xf numFmtId="49" fontId="32" fillId="5" borderId="10" xfId="0" applyNumberFormat="1" applyFont="1" applyFill="1" applyBorder="1" applyAlignment="1">
      <alignment horizontal="left" indent="1"/>
    </xf>
    <xf numFmtId="49" fontId="32" fillId="5" borderId="6" xfId="0" applyNumberFormat="1" applyFont="1" applyFill="1" applyBorder="1" applyAlignment="1">
      <alignment horizontal="left" indent="1"/>
    </xf>
    <xf numFmtId="0" fontId="37" fillId="0" borderId="3" xfId="0" applyFont="1" applyBorder="1" applyAlignment="1">
      <alignment horizontal="left" wrapText="1"/>
    </xf>
    <xf numFmtId="0" fontId="37" fillId="0" borderId="18" xfId="0" applyFont="1" applyBorder="1" applyAlignment="1">
      <alignment horizontal="left" wrapText="1"/>
    </xf>
    <xf numFmtId="0" fontId="37" fillId="0" borderId="17" xfId="0" applyFont="1" applyBorder="1" applyAlignment="1">
      <alignment horizontal="left"/>
    </xf>
    <xf numFmtId="0" fontId="37" fillId="0" borderId="19" xfId="0" applyFont="1" applyBorder="1" applyAlignment="1">
      <alignment horizontal="left"/>
    </xf>
    <xf numFmtId="0" fontId="31" fillId="0" borderId="7" xfId="0" applyFont="1" applyBorder="1" applyAlignment="1">
      <alignment horizontal="left" vertical="center"/>
    </xf>
    <xf numFmtId="0" fontId="31" fillId="0" borderId="0" xfId="0" applyFont="1" applyAlignment="1">
      <alignment horizontal="left" vertical="center"/>
    </xf>
    <xf numFmtId="0" fontId="31" fillId="0" borderId="16" xfId="0" applyFont="1" applyBorder="1" applyAlignment="1">
      <alignment horizontal="left" vertical="center"/>
    </xf>
    <xf numFmtId="0" fontId="23" fillId="4" borderId="10" xfId="0" applyFont="1" applyFill="1" applyBorder="1" applyAlignment="1">
      <alignment horizontal="left" indent="1"/>
    </xf>
    <xf numFmtId="0" fontId="23" fillId="4" borderId="6" xfId="0" applyFont="1" applyFill="1" applyBorder="1" applyAlignment="1">
      <alignment horizontal="left" indent="1"/>
    </xf>
    <xf numFmtId="0" fontId="23" fillId="4" borderId="16" xfId="0" applyFont="1" applyFill="1" applyBorder="1" applyAlignment="1">
      <alignment horizontal="left" indent="1"/>
    </xf>
    <xf numFmtId="0" fontId="24" fillId="0" borderId="39" xfId="0" applyFont="1" applyFill="1" applyBorder="1" applyAlignment="1">
      <alignment horizontal="center" vertical="center" textRotation="90"/>
    </xf>
    <xf numFmtId="0" fontId="24" fillId="0" borderId="7" xfId="0" applyFont="1" applyFill="1" applyBorder="1" applyAlignment="1">
      <alignment horizontal="center" vertical="center" textRotation="90"/>
    </xf>
    <xf numFmtId="0" fontId="24" fillId="0" borderId="42" xfId="0" applyFont="1" applyFill="1" applyBorder="1" applyAlignment="1">
      <alignment horizontal="center" vertical="center" textRotation="90"/>
    </xf>
    <xf numFmtId="0" fontId="25" fillId="0" borderId="33" xfId="0" applyFont="1" applyBorder="1" applyAlignment="1">
      <alignment horizontal="left" vertical="center" indent="2"/>
    </xf>
    <xf numFmtId="0" fontId="25" fillId="0" borderId="34" xfId="0" applyFont="1" applyBorder="1" applyAlignment="1">
      <alignment horizontal="left" vertical="center" indent="2"/>
    </xf>
    <xf numFmtId="0" fontId="25" fillId="0" borderId="30" xfId="0" applyFont="1" applyBorder="1" applyAlignment="1">
      <alignment horizontal="left" vertical="center" indent="2"/>
    </xf>
    <xf numFmtId="0" fontId="25" fillId="0" borderId="31" xfId="0" applyFont="1" applyBorder="1" applyAlignment="1">
      <alignment horizontal="left" vertical="center" indent="2"/>
    </xf>
    <xf numFmtId="0" fontId="28" fillId="0" borderId="33" xfId="0" applyFont="1" applyBorder="1" applyAlignment="1">
      <alignment horizontal="right" vertical="center" textRotation="90"/>
    </xf>
    <xf numFmtId="0" fontId="37" fillId="0" borderId="37" xfId="0" applyFont="1" applyBorder="1" applyAlignment="1">
      <alignment horizontal="left"/>
    </xf>
    <xf numFmtId="0" fontId="37" fillId="0" borderId="38" xfId="0" applyFont="1" applyBorder="1" applyAlignment="1">
      <alignment horizontal="left"/>
    </xf>
    <xf numFmtId="0" fontId="33" fillId="5" borderId="22" xfId="0" applyFont="1" applyFill="1" applyBorder="1" applyAlignment="1">
      <alignment horizontal="left" vertical="top" indent="1"/>
    </xf>
    <xf numFmtId="0" fontId="33" fillId="5" borderId="23" xfId="0" applyFont="1" applyFill="1" applyBorder="1" applyAlignment="1">
      <alignment horizontal="left" vertical="top" indent="1"/>
    </xf>
    <xf numFmtId="49" fontId="32" fillId="5" borderId="10" xfId="0" applyNumberFormat="1" applyFont="1" applyFill="1" applyBorder="1" applyAlignment="1">
      <alignment horizontal="center" vertical="center" wrapText="1"/>
    </xf>
    <xf numFmtId="49" fontId="32" fillId="5" borderId="16" xfId="0" applyNumberFormat="1" applyFont="1" applyFill="1" applyBorder="1" applyAlignment="1">
      <alignment horizontal="center" vertical="center" wrapText="1"/>
    </xf>
    <xf numFmtId="49" fontId="32" fillId="5" borderId="22" xfId="0" applyNumberFormat="1" applyFont="1" applyFill="1" applyBorder="1" applyAlignment="1">
      <alignment horizontal="center" vertical="center" wrapText="1"/>
    </xf>
    <xf numFmtId="49" fontId="32" fillId="5" borderId="27" xfId="0" applyNumberFormat="1" applyFont="1" applyFill="1" applyBorder="1" applyAlignment="1">
      <alignment horizontal="center" vertical="center" wrapText="1"/>
    </xf>
    <xf numFmtId="49" fontId="32" fillId="5" borderId="25" xfId="0" applyNumberFormat="1" applyFont="1" applyFill="1" applyBorder="1" applyAlignment="1">
      <alignment horizontal="left" indent="1"/>
    </xf>
    <xf numFmtId="49" fontId="32" fillId="5" borderId="26" xfId="0" applyNumberFormat="1" applyFont="1" applyFill="1" applyBorder="1" applyAlignment="1">
      <alignment horizontal="left" indent="1"/>
    </xf>
    <xf numFmtId="0" fontId="28" fillId="0" borderId="36" xfId="0" applyFont="1" applyBorder="1" applyAlignment="1">
      <alignment vertical="center" textRotation="90"/>
    </xf>
    <xf numFmtId="0" fontId="28" fillId="0" borderId="29" xfId="0" applyFont="1" applyBorder="1" applyAlignment="1">
      <alignment vertical="center" textRotation="90"/>
    </xf>
    <xf numFmtId="0" fontId="37" fillId="0" borderId="17" xfId="0" applyFont="1" applyBorder="1" applyAlignment="1">
      <alignment horizontal="left" wrapText="1"/>
    </xf>
    <xf numFmtId="0" fontId="37" fillId="0" borderId="19" xfId="0" applyFont="1" applyBorder="1" applyAlignment="1">
      <alignment horizontal="left" wrapText="1"/>
    </xf>
    <xf numFmtId="0" fontId="33" fillId="5" borderId="12" xfId="0" applyFont="1" applyFill="1" applyBorder="1" applyAlignment="1">
      <alignment horizontal="left" vertical="top" indent="1"/>
    </xf>
    <xf numFmtId="0" fontId="33" fillId="5" borderId="13" xfId="0" applyFont="1" applyFill="1" applyBorder="1" applyAlignment="1">
      <alignment horizontal="left" vertical="top" indent="1"/>
    </xf>
    <xf numFmtId="164" fontId="33" fillId="5" borderId="12" xfId="0" applyNumberFormat="1" applyFont="1" applyFill="1" applyBorder="1" applyAlignment="1">
      <alignment horizontal="left" vertical="top" indent="1"/>
    </xf>
    <xf numFmtId="164" fontId="33" fillId="5" borderId="15" xfId="0" applyNumberFormat="1" applyFont="1" applyFill="1" applyBorder="1" applyAlignment="1">
      <alignment horizontal="left" vertical="top" indent="1"/>
    </xf>
    <xf numFmtId="164" fontId="35" fillId="0" borderId="5" xfId="0" applyNumberFormat="1" applyFont="1" applyFill="1" applyBorder="1" applyAlignment="1">
      <alignment horizontal="left"/>
    </xf>
    <xf numFmtId="164" fontId="35" fillId="0" borderId="20" xfId="0" applyNumberFormat="1" applyFont="1" applyFill="1" applyBorder="1" applyAlignment="1">
      <alignment horizontal="left"/>
    </xf>
    <xf numFmtId="49" fontId="32" fillId="5" borderId="45" xfId="0" applyNumberFormat="1" applyFont="1" applyFill="1" applyBorder="1" applyAlignment="1">
      <alignment horizontal="center" vertical="center" wrapText="1"/>
    </xf>
    <xf numFmtId="49" fontId="32" fillId="5" borderId="46" xfId="0" applyNumberFormat="1" applyFont="1" applyFill="1" applyBorder="1" applyAlignment="1">
      <alignment horizontal="center" vertical="center" wrapText="1"/>
    </xf>
    <xf numFmtId="49" fontId="32" fillId="5" borderId="28" xfId="0" applyNumberFormat="1" applyFont="1" applyFill="1" applyBorder="1" applyAlignment="1">
      <alignment horizontal="center" vertical="center" wrapText="1"/>
    </xf>
    <xf numFmtId="49" fontId="32" fillId="5" borderId="7" xfId="0" applyNumberFormat="1" applyFont="1" applyFill="1" applyBorder="1" applyAlignment="1">
      <alignment horizontal="center" vertical="center" wrapText="1"/>
    </xf>
    <xf numFmtId="49" fontId="32" fillId="5" borderId="0" xfId="0" applyNumberFormat="1" applyFont="1" applyFill="1" applyBorder="1" applyAlignment="1">
      <alignment horizontal="center" vertical="center" wrapText="1"/>
    </xf>
    <xf numFmtId="0" fontId="37" fillId="0" borderId="3" xfId="0" applyFont="1" applyBorder="1" applyAlignment="1">
      <alignment horizontal="left" vertical="center" wrapText="1"/>
    </xf>
    <xf numFmtId="0" fontId="37" fillId="0" borderId="18" xfId="0" applyFont="1" applyBorder="1" applyAlignment="1">
      <alignment horizontal="left" vertical="center" wrapText="1"/>
    </xf>
    <xf numFmtId="164" fontId="37" fillId="0" borderId="5" xfId="0" applyNumberFormat="1" applyFont="1" applyFill="1" applyBorder="1" applyAlignment="1">
      <alignment horizontal="left"/>
    </xf>
    <xf numFmtId="164" fontId="37" fillId="0" borderId="20" xfId="0" applyNumberFormat="1" applyFont="1" applyFill="1" applyBorder="1" applyAlignment="1">
      <alignment horizontal="left"/>
    </xf>
    <xf numFmtId="0" fontId="33" fillId="5" borderId="27" xfId="0" applyFont="1" applyFill="1" applyBorder="1" applyAlignment="1">
      <alignment horizontal="left" vertical="top" indent="1"/>
    </xf>
    <xf numFmtId="49" fontId="32" fillId="5" borderId="10" xfId="0" applyNumberFormat="1" applyFont="1" applyFill="1" applyBorder="1" applyAlignment="1">
      <alignment horizontal="left" vertical="center" indent="1"/>
    </xf>
    <xf numFmtId="49" fontId="32" fillId="5" borderId="16" xfId="0" applyNumberFormat="1" applyFont="1" applyFill="1" applyBorder="1" applyAlignment="1">
      <alignment horizontal="left" vertical="center" indent="1"/>
    </xf>
    <xf numFmtId="0" fontId="37" fillId="0" borderId="37" xfId="0" applyFont="1" applyBorder="1" applyAlignment="1">
      <alignment horizontal="left" wrapText="1"/>
    </xf>
    <xf numFmtId="0" fontId="37" fillId="0" borderId="38" xfId="0" applyFont="1" applyBorder="1" applyAlignment="1">
      <alignment horizontal="left" wrapText="1"/>
    </xf>
    <xf numFmtId="0" fontId="37" fillId="0" borderId="5" xfId="0" applyFont="1" applyBorder="1" applyAlignment="1">
      <alignment horizontal="left" wrapText="1"/>
    </xf>
    <xf numFmtId="0" fontId="37" fillId="0" borderId="20" xfId="0" applyFont="1" applyBorder="1" applyAlignment="1">
      <alignment horizontal="left" wrapText="1"/>
    </xf>
  </cellXfs>
  <cellStyles count="5">
    <cellStyle name="40% - Accent1 2" xfId="3"/>
    <cellStyle name="Accent1 2" xfId="2"/>
    <cellStyle name="Heading 1 2" xfId="4"/>
    <cellStyle name="Normal" xfId="0" builtinId="0" customBuiltin="1"/>
    <cellStyle name="Normal 2" xfId="1"/>
  </cellStyles>
  <dxfs count="61">
    <dxf>
      <fill>
        <patternFill>
          <bgColor theme="4" tint="0.79998168889431442"/>
        </patternFill>
      </fill>
    </dxf>
    <dxf>
      <fill>
        <patternFill>
          <bgColor theme="4" tint="0.79998168889431442"/>
        </patternFill>
      </fill>
    </dxf>
    <dxf>
      <font>
        <b/>
        <i val="0"/>
        <color theme="1"/>
      </font>
      <fill>
        <patternFill patternType="solid">
          <bgColor theme="4" tint="0.79998168889431442"/>
        </patternFill>
      </fill>
      <border>
        <left/>
        <right/>
        <top/>
        <bottom/>
        <vertical/>
        <horizontal/>
      </border>
    </dxf>
    <dxf>
      <font>
        <color theme="0" tint="-0.24994659260841701"/>
      </font>
    </dxf>
    <dxf>
      <font>
        <color theme="0" tint="-0.24994659260841701"/>
      </font>
    </dxf>
    <dxf>
      <fill>
        <patternFill>
          <bgColor theme="4" tint="0.79998168889431442"/>
        </patternFill>
      </fill>
    </dxf>
    <dxf>
      <fill>
        <patternFill>
          <bgColor theme="4" tint="0.79998168889431442"/>
        </patternFill>
      </fill>
    </dxf>
    <dxf>
      <font>
        <b/>
        <i val="0"/>
        <color theme="1"/>
      </font>
      <fill>
        <patternFill patternType="solid">
          <bgColor theme="4" tint="0.79998168889431442"/>
        </patternFill>
      </fill>
      <border>
        <left/>
        <right/>
        <top/>
        <bottom/>
        <vertical/>
        <horizontal/>
      </border>
    </dxf>
    <dxf>
      <font>
        <color theme="0" tint="-0.24994659260841701"/>
      </font>
    </dxf>
    <dxf>
      <font>
        <color theme="0" tint="-0.24994659260841701"/>
      </font>
    </dxf>
    <dxf>
      <fill>
        <patternFill>
          <bgColor theme="4" tint="0.79998168889431442"/>
        </patternFill>
      </fill>
    </dxf>
    <dxf>
      <font>
        <b/>
        <i val="0"/>
        <color theme="1"/>
      </font>
      <fill>
        <patternFill patternType="solid">
          <bgColor theme="4" tint="0.79998168889431442"/>
        </patternFill>
      </fill>
      <border>
        <left/>
        <right/>
        <top/>
        <bottom/>
        <vertical/>
        <horizontal/>
      </border>
    </dxf>
    <dxf>
      <font>
        <color theme="0" tint="-0.24994659260841701"/>
      </font>
    </dxf>
    <dxf>
      <font>
        <color theme="0" tint="-0.24994659260841701"/>
      </font>
    </dxf>
    <dxf>
      <fill>
        <patternFill>
          <bgColor theme="4" tint="0.79998168889431442"/>
        </patternFill>
      </fill>
    </dxf>
    <dxf>
      <font>
        <b/>
        <i val="0"/>
        <color theme="1"/>
      </font>
      <fill>
        <patternFill patternType="solid">
          <bgColor theme="4" tint="0.79998168889431442"/>
        </patternFill>
      </fill>
      <border>
        <left/>
        <right/>
        <top/>
        <bottom/>
        <vertical/>
        <horizontal/>
      </border>
    </dxf>
    <dxf>
      <font>
        <color theme="0" tint="-0.24994659260841701"/>
      </font>
    </dxf>
    <dxf>
      <font>
        <color theme="0" tint="-0.24994659260841701"/>
      </font>
    </dxf>
    <dxf>
      <fill>
        <patternFill>
          <bgColor theme="4" tint="0.79998168889431442"/>
        </patternFill>
      </fill>
    </dxf>
    <dxf>
      <font>
        <b/>
        <i val="0"/>
        <color theme="1"/>
      </font>
      <fill>
        <patternFill patternType="solid">
          <bgColor theme="4" tint="0.79998168889431442"/>
        </patternFill>
      </fill>
      <border>
        <left/>
        <right/>
        <top/>
        <bottom/>
        <vertical/>
        <horizontal/>
      </border>
    </dxf>
    <dxf>
      <font>
        <color theme="0" tint="-0.24994659260841701"/>
      </font>
    </dxf>
    <dxf>
      <font>
        <color theme="0" tint="-0.24994659260841701"/>
      </font>
    </dxf>
    <dxf>
      <fill>
        <patternFill>
          <bgColor theme="4" tint="0.79998168889431442"/>
        </patternFill>
      </fill>
    </dxf>
    <dxf>
      <font>
        <b/>
        <i val="0"/>
        <color theme="1"/>
      </font>
      <fill>
        <patternFill patternType="solid">
          <bgColor theme="4" tint="0.79998168889431442"/>
        </patternFill>
      </fill>
      <border>
        <left/>
        <right/>
        <top/>
        <bottom/>
        <vertical/>
        <horizontal/>
      </border>
    </dxf>
    <dxf>
      <font>
        <color theme="0" tint="-0.24994659260841701"/>
      </font>
    </dxf>
    <dxf>
      <font>
        <color theme="0" tint="-0.24994659260841701"/>
      </font>
    </dxf>
    <dxf>
      <fill>
        <patternFill>
          <bgColor theme="4" tint="0.79998168889431442"/>
        </patternFill>
      </fill>
    </dxf>
    <dxf>
      <font>
        <b/>
        <i val="0"/>
        <color theme="1"/>
      </font>
      <fill>
        <patternFill patternType="solid">
          <bgColor theme="4" tint="0.79998168889431442"/>
        </patternFill>
      </fill>
      <border>
        <left/>
        <right/>
        <top/>
        <bottom/>
        <vertical/>
        <horizontal/>
      </border>
    </dxf>
    <dxf>
      <font>
        <color theme="0" tint="-0.24994659260841701"/>
      </font>
    </dxf>
    <dxf>
      <font>
        <color theme="0" tint="-0.24994659260841701"/>
      </font>
    </dxf>
    <dxf>
      <fill>
        <patternFill>
          <bgColor theme="4" tint="0.79998168889431442"/>
        </patternFill>
      </fill>
    </dxf>
    <dxf>
      <font>
        <b/>
        <i val="0"/>
        <color theme="1"/>
      </font>
      <fill>
        <patternFill patternType="solid">
          <bgColor theme="4" tint="0.79998168889431442"/>
        </patternFill>
      </fill>
      <border>
        <left/>
        <right/>
        <top/>
        <bottom/>
        <vertical/>
        <horizontal/>
      </border>
    </dxf>
    <dxf>
      <font>
        <color theme="0" tint="-0.24994659260841701"/>
      </font>
    </dxf>
    <dxf>
      <font>
        <color theme="0" tint="-0.24994659260841701"/>
      </font>
    </dxf>
    <dxf>
      <fill>
        <patternFill>
          <bgColor theme="4" tint="0.79998168889431442"/>
        </patternFill>
      </fill>
    </dxf>
    <dxf>
      <font>
        <b/>
        <i val="0"/>
        <color theme="1"/>
      </font>
      <fill>
        <patternFill patternType="solid">
          <bgColor theme="4" tint="0.79998168889431442"/>
        </patternFill>
      </fill>
      <border>
        <left/>
        <right/>
        <top/>
        <bottom/>
        <vertical/>
        <horizontal/>
      </border>
    </dxf>
    <dxf>
      <font>
        <color theme="0" tint="-0.24994659260841701"/>
      </font>
    </dxf>
    <dxf>
      <font>
        <color theme="0" tint="-0.24994659260841701"/>
      </font>
    </dxf>
    <dxf>
      <fill>
        <patternFill>
          <bgColor theme="4" tint="0.79998168889431442"/>
        </patternFill>
      </fill>
    </dxf>
    <dxf>
      <font>
        <b/>
        <i val="0"/>
        <color theme="1"/>
      </font>
      <fill>
        <patternFill patternType="solid">
          <bgColor theme="4" tint="0.79998168889431442"/>
        </patternFill>
      </fill>
      <border>
        <left/>
        <right/>
        <top/>
        <bottom/>
        <vertical/>
        <horizontal/>
      </border>
    </dxf>
    <dxf>
      <font>
        <color theme="0" tint="-0.24994659260841701"/>
      </font>
    </dxf>
    <dxf>
      <font>
        <color theme="0" tint="-0.24994659260841701"/>
      </font>
    </dxf>
    <dxf>
      <fill>
        <patternFill>
          <bgColor theme="4" tint="0.79998168889431442"/>
        </patternFill>
      </fill>
    </dxf>
    <dxf>
      <font>
        <b/>
        <i val="0"/>
        <color theme="1"/>
      </font>
      <fill>
        <patternFill patternType="solid">
          <bgColor theme="4" tint="0.79998168889431442"/>
        </patternFill>
      </fill>
      <border>
        <left/>
        <right/>
        <top/>
        <bottom/>
        <vertical/>
        <horizontal/>
      </border>
    </dxf>
    <dxf>
      <font>
        <color theme="0" tint="-0.24994659260841701"/>
      </font>
    </dxf>
    <dxf>
      <font>
        <color theme="0" tint="-0.24994659260841701"/>
      </font>
    </dxf>
    <dxf>
      <fill>
        <patternFill>
          <bgColor theme="4" tint="0.79998168889431442"/>
        </patternFill>
      </fill>
    </dxf>
    <dxf>
      <font>
        <b/>
        <i val="0"/>
        <color theme="1"/>
      </font>
      <fill>
        <patternFill patternType="solid">
          <bgColor theme="4" tint="0.79998168889431442"/>
        </patternFill>
      </fill>
      <border>
        <left/>
        <right/>
        <top/>
        <bottom/>
        <vertical/>
        <horizontal/>
      </border>
    </dxf>
    <dxf>
      <font>
        <color theme="0" tint="-0.24994659260841701"/>
      </font>
    </dxf>
    <dxf>
      <font>
        <color theme="0" tint="-0.24994659260841701"/>
      </font>
    </dxf>
    <dxf>
      <font>
        <b/>
        <color theme="1"/>
      </font>
      <border diagonalUp="0" diagonalDown="0">
        <left/>
        <right/>
        <top/>
        <bottom/>
        <vertical/>
        <horizontal/>
      </border>
    </dxf>
    <dxf>
      <font>
        <b/>
        <color theme="1"/>
      </font>
      <border>
        <top style="double">
          <color theme="6" tint="-0.24994659260841701"/>
        </top>
      </border>
    </dxf>
    <dxf>
      <font>
        <color theme="0"/>
      </font>
      <fill>
        <patternFill patternType="solid">
          <fgColor theme="4"/>
          <bgColor theme="7"/>
        </patternFill>
      </fill>
      <border diagonalUp="0" diagonalDown="0">
        <left/>
        <right/>
        <top/>
        <bottom/>
        <vertical/>
        <horizontal/>
      </border>
    </dxf>
    <dxf>
      <font>
        <color theme="1"/>
      </font>
      <fill>
        <patternFill>
          <bgColor theme="0"/>
        </patternFill>
      </fill>
      <border>
        <left style="thin">
          <color theme="9" tint="0.59996337778862885"/>
        </left>
        <right style="thin">
          <color theme="9" tint="0.59996337778862885"/>
        </right>
        <top style="thin">
          <color theme="9" tint="0.59996337778862885"/>
        </top>
        <bottom style="thin">
          <color theme="9" tint="0.59996337778862885"/>
        </bottom>
        <vertical/>
        <horizontal style="dashDotDot">
          <color theme="9" tint="0.59996337778862885"/>
        </horizontal>
      </border>
    </dxf>
    <dxf>
      <fill>
        <patternFill patternType="solid">
          <fgColor theme="9" tint="0.79998168889431442"/>
          <bgColor theme="9" tint="0.79998168889431442"/>
        </patternFill>
      </fill>
    </dxf>
    <dxf>
      <fill>
        <patternFill patternType="solid">
          <fgColor theme="9" tint="0.79998168889431442"/>
          <bgColor theme="9" tint="0.79998168889431442"/>
        </patternFill>
      </fill>
    </dxf>
    <dxf>
      <font>
        <b/>
        <color theme="9" tint="-0.249977111117893"/>
      </font>
    </dxf>
    <dxf>
      <font>
        <b/>
        <color theme="9" tint="-0.249977111117893"/>
      </font>
    </dxf>
    <dxf>
      <font>
        <b/>
        <color theme="9" tint="-0.249977111117893"/>
      </font>
      <border>
        <top style="thin">
          <color theme="9"/>
        </top>
      </border>
    </dxf>
    <dxf>
      <font>
        <b/>
        <color theme="9" tint="-0.249977111117893"/>
      </font>
      <border>
        <bottom style="thin">
          <color theme="9"/>
        </bottom>
      </border>
    </dxf>
    <dxf>
      <font>
        <color theme="9" tint="-0.249977111117893"/>
      </font>
      <fill>
        <patternFill>
          <bgColor theme="0"/>
        </patternFill>
      </fill>
      <border>
        <top style="thin">
          <color theme="9"/>
        </top>
        <bottom style="thin">
          <color theme="9"/>
        </bottom>
      </border>
    </dxf>
  </dxfs>
  <tableStyles count="2" defaultTableStyle="TableStyleMedium2" defaultPivotStyle="PivotStyleLight16">
    <tableStyle name="TableStyleLight7 2" pivot="0" count="7">
      <tableStyleElement type="wholeTable" dxfId="60"/>
      <tableStyleElement type="headerRow" dxfId="59"/>
      <tableStyleElement type="totalRow" dxfId="58"/>
      <tableStyleElement type="firstColumn" dxfId="57"/>
      <tableStyleElement type="lastColumn" dxfId="56"/>
      <tableStyleElement type="firstRowStripe" dxfId="55"/>
      <tableStyleElement type="firstColumnStripe" dxfId="54"/>
    </tableStyle>
    <tableStyle name="TableStyleLight9 2" pivot="0" count="4">
      <tableStyleElement type="wholeTable" dxfId="53"/>
      <tableStyleElement type="headerRow" dxfId="52"/>
      <tableStyleElement type="totalRow" dxfId="51"/>
      <tableStyleElement type="firstColumn" dxfId="50"/>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trlProps/ctrlProp1.xml><?xml version="1.0" encoding="utf-8"?>
<formControlPr xmlns="http://schemas.microsoft.com/office/spreadsheetml/2009/9/main" objectType="Spin" dx="16" fmlaLink="$N$2" max="2999" min="1900" page="10" val="2018"/>
</file>

<file path=xl/drawings/drawing1.xml><?xml version="1.0" encoding="utf-8"?>
<xdr:wsDr xmlns:xdr="http://schemas.openxmlformats.org/drawingml/2006/spreadsheetDrawing" xmlns:a="http://schemas.openxmlformats.org/drawingml/2006/main">
  <xdr:twoCellAnchor>
    <xdr:from>
      <xdr:col>15</xdr:col>
      <xdr:colOff>38100</xdr:colOff>
      <xdr:row>1</xdr:row>
      <xdr:rowOff>28575</xdr:rowOff>
    </xdr:from>
    <xdr:to>
      <xdr:col>18</xdr:col>
      <xdr:colOff>552450</xdr:colOff>
      <xdr:row>2</xdr:row>
      <xdr:rowOff>238124</xdr:rowOff>
    </xdr:to>
    <xdr:sp macro="" textlink="">
      <xdr:nvSpPr>
        <xdr:cNvPr id="3" name="TextBox 2"/>
        <xdr:cNvSpPr txBox="1"/>
      </xdr:nvSpPr>
      <xdr:spPr>
        <a:xfrm>
          <a:off x="9639300" y="171450"/>
          <a:ext cx="2286000" cy="4190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lang="en-US" sz="1000" b="1">
              <a:solidFill>
                <a:schemeClr val="accent1"/>
              </a:solidFill>
            </a:rPr>
            <a:t>Haga clic en el control de número para cambiar</a:t>
          </a:r>
          <a:r>
            <a:rPr lang="en-US" sz="1000" b="1" baseline="0">
              <a:solidFill>
                <a:schemeClr val="accent1"/>
              </a:solidFill>
            </a:rPr>
            <a:t> el año</a:t>
          </a:r>
        </a:p>
      </xdr:txBody>
    </xdr:sp>
    <xdr:clientData fPrintsWithSheet="0"/>
  </xdr:twoCellAnchor>
  <mc:AlternateContent xmlns:mc="http://schemas.openxmlformats.org/markup-compatibility/2006">
    <mc:Choice xmlns:a14="http://schemas.microsoft.com/office/drawing/2010/main" Requires="a14">
      <xdr:twoCellAnchor editAs="oneCell">
        <xdr:from>
          <xdr:col>14</xdr:col>
          <xdr:colOff>28575</xdr:colOff>
          <xdr:row>1</xdr:row>
          <xdr:rowOff>85725</xdr:rowOff>
        </xdr:from>
        <xdr:to>
          <xdr:col>15</xdr:col>
          <xdr:colOff>0</xdr:colOff>
          <xdr:row>2</xdr:row>
          <xdr:rowOff>161925</xdr:rowOff>
        </xdr:to>
        <xdr:sp macro="" textlink="">
          <xdr:nvSpPr>
            <xdr:cNvPr id="1025" name="Spinner 1" hidden="1">
              <a:extLst>
                <a:ext uri="{63B3BB69-23CF-44E3-9099-C40C66FF867C}">
                  <a14:compatExt spid="_x0000_s1025"/>
                </a:ext>
              </a:extLst>
            </xdr:cNvPr>
            <xdr:cNvSpPr/>
          </xdr:nvSpPr>
          <xdr:spPr>
            <a:xfrm>
              <a:off x="0" y="0"/>
              <a:ext cx="0" cy="0"/>
            </a:xfrm>
            <a:prstGeom prst="rect">
              <a:avLst/>
            </a:prstGeom>
          </xdr:spPr>
        </xdr:sp>
        <xdr:clientData fPrintsWithSheet="0"/>
      </xdr:twoCellAnchor>
    </mc:Choice>
    <mc:Fallback/>
  </mc:AlternateContent>
</xdr:wsDr>
</file>

<file path=xl/theme/theme1.xml><?xml version="1.0" encoding="utf-8"?>
<a:theme xmlns:a="http://schemas.openxmlformats.org/drawingml/2006/main" name="10_college_cal">
  <a:themeElements>
    <a:clrScheme name="Assignment Calendar">
      <a:dk1>
        <a:sysClr val="windowText" lastClr="000000"/>
      </a:dk1>
      <a:lt1>
        <a:sysClr val="window" lastClr="FFFFFF"/>
      </a:lt1>
      <a:dk2>
        <a:srgbClr val="1F497D"/>
      </a:dk2>
      <a:lt2>
        <a:srgbClr val="EEECE1"/>
      </a:lt2>
      <a:accent1>
        <a:srgbClr val="39B5D4"/>
      </a:accent1>
      <a:accent2>
        <a:srgbClr val="FFCCCC"/>
      </a:accent2>
      <a:accent3>
        <a:srgbClr val="4DBB68"/>
      </a:accent3>
      <a:accent4>
        <a:srgbClr val="FFFB59"/>
      </a:accent4>
      <a:accent5>
        <a:srgbClr val="FF9900"/>
      </a:accent5>
      <a:accent6>
        <a:srgbClr val="AC75D5"/>
      </a:accent6>
      <a:hlink>
        <a:srgbClr val="57B5D4"/>
      </a:hlink>
      <a:folHlink>
        <a:srgbClr val="BA4F8B"/>
      </a:folHlink>
    </a:clrScheme>
    <a:fontScheme name="Office Classic 2">
      <a:majorFont>
        <a:latin typeface="Arial"/>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ajorFont>
      <a:minorFont>
        <a:latin typeface="Arial"/>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4"/>
    <pageSetUpPr fitToPage="1"/>
  </sheetPr>
  <dimension ref="A1:AO33"/>
  <sheetViews>
    <sheetView showGridLines="0" topLeftCell="A16" zoomScaleNormal="100" zoomScalePageLayoutView="84" workbookViewId="0">
      <selection activeCell="K34" sqref="K34:K35"/>
    </sheetView>
  </sheetViews>
  <sheetFormatPr baseColWidth="10" defaultColWidth="8.7109375" defaultRowHeight="16.5" customHeight="1" x14ac:dyDescent="0.2"/>
  <cols>
    <col min="1" max="1" width="2.28515625" style="1" customWidth="1"/>
    <col min="2" max="2" width="12.7109375" style="1" customWidth="1"/>
    <col min="3" max="10" width="6.7109375" style="1" customWidth="1"/>
    <col min="11" max="11" width="7.28515625" style="1" customWidth="1"/>
    <col min="12" max="12" width="3.85546875" customWidth="1"/>
    <col min="13" max="13" width="51.42578125" style="1" customWidth="1"/>
    <col min="14" max="14" width="10.7109375" style="1" customWidth="1"/>
    <col min="15" max="15" width="2.28515625" customWidth="1"/>
    <col min="16" max="22" width="8.85546875" customWidth="1"/>
    <col min="42" max="16384" width="8.7109375" style="1"/>
  </cols>
  <sheetData>
    <row r="1" spans="1:14" ht="11.25" customHeight="1" x14ac:dyDescent="0.2"/>
    <row r="2" spans="1:14" ht="18" customHeight="1" x14ac:dyDescent="0.2">
      <c r="A2" s="4"/>
      <c r="B2" s="100" t="s">
        <v>4</v>
      </c>
      <c r="C2" s="21"/>
      <c r="D2" s="21"/>
      <c r="E2" s="21"/>
      <c r="F2" s="21"/>
      <c r="G2" s="21"/>
      <c r="H2" s="21"/>
      <c r="I2" s="21"/>
      <c r="J2" s="22"/>
      <c r="K2" s="74" t="s">
        <v>3</v>
      </c>
      <c r="L2" s="75">
        <v>2013</v>
      </c>
      <c r="M2" s="75"/>
      <c r="N2" s="81">
        <v>2018</v>
      </c>
    </row>
    <row r="3" spans="1:14" ht="21" customHeight="1" x14ac:dyDescent="0.2">
      <c r="A3" s="4"/>
      <c r="B3" s="101"/>
      <c r="C3" s="2" t="s">
        <v>5</v>
      </c>
      <c r="D3" s="2" t="s">
        <v>1</v>
      </c>
      <c r="E3" s="2" t="s">
        <v>6</v>
      </c>
      <c r="F3" s="2" t="s">
        <v>7</v>
      </c>
      <c r="G3" s="2" t="s">
        <v>8</v>
      </c>
      <c r="H3" s="2" t="s">
        <v>0</v>
      </c>
      <c r="I3" s="2" t="s">
        <v>9</v>
      </c>
      <c r="J3" s="5"/>
      <c r="K3" s="76"/>
      <c r="L3" s="77"/>
      <c r="M3" s="77"/>
      <c r="N3" s="82"/>
    </row>
    <row r="4" spans="1:14" ht="18" customHeight="1" x14ac:dyDescent="0.2">
      <c r="A4" s="4"/>
      <c r="B4" s="101"/>
      <c r="C4" s="10">
        <f>IF(DAY(JanSun1)=1,JanSun1-6,JanSun1+1)</f>
        <v>43101</v>
      </c>
      <c r="D4" s="10">
        <f>IF(DAY(JanSun1)=1,JanSun1-5,JanSun1+2)</f>
        <v>43102</v>
      </c>
      <c r="E4" s="10">
        <f>IF(DAY(JanSun1)=1,JanSun1-4,JanSun1+3)</f>
        <v>43103</v>
      </c>
      <c r="F4" s="10">
        <f>IF(DAY(JanSun1)=1,JanSun1-3,JanSun1+4)</f>
        <v>43104</v>
      </c>
      <c r="G4" s="10">
        <f>IF(DAY(JanSun1)=1,JanSun1-2,JanSun1+5)</f>
        <v>43105</v>
      </c>
      <c r="H4" s="10">
        <f>IF(DAY(JanSun1)=1,JanSun1-1,JanSun1+6)</f>
        <v>43106</v>
      </c>
      <c r="I4" s="10">
        <f>IF(DAY(JanSun1)=1,JanSun1,JanSun1+7)</f>
        <v>43107</v>
      </c>
      <c r="J4" s="5"/>
      <c r="K4" s="78" t="s">
        <v>12</v>
      </c>
      <c r="L4" s="16">
        <v>3</v>
      </c>
      <c r="M4" s="79"/>
      <c r="N4" s="80"/>
    </row>
    <row r="5" spans="1:14" ht="18" customHeight="1" x14ac:dyDescent="0.2">
      <c r="A5" s="4"/>
      <c r="B5" s="101"/>
      <c r="C5" s="10">
        <f>IF(DAY(JanSun1)=1,JanSun1+1,JanSun1+8)</f>
        <v>43108</v>
      </c>
      <c r="D5" s="10">
        <f>IF(DAY(JanSun1)=1,JanSun1+2,JanSun1+9)</f>
        <v>43109</v>
      </c>
      <c r="E5" s="10">
        <f>IF(DAY(JanSun1)=1,JanSun1+3,JanSun1+10)</f>
        <v>43110</v>
      </c>
      <c r="F5" s="10">
        <f>IF(DAY(JanSun1)=1,JanSun1+4,JanSun1+11)</f>
        <v>43111</v>
      </c>
      <c r="G5" s="10">
        <f>IF(DAY(JanSun1)=1,JanSun1+5,JanSun1+12)</f>
        <v>43112</v>
      </c>
      <c r="H5" s="10">
        <f>IF(DAY(JanSun1)=1,JanSun1+6,JanSun1+13)</f>
        <v>43113</v>
      </c>
      <c r="I5" s="10">
        <f>IF(DAY(JanSun1)=1,JanSun1+7,JanSun1+14)</f>
        <v>43114</v>
      </c>
      <c r="J5" s="5"/>
      <c r="K5" s="70"/>
      <c r="L5" s="17"/>
      <c r="M5" s="63"/>
      <c r="N5" s="64"/>
    </row>
    <row r="6" spans="1:14" ht="18" customHeight="1" x14ac:dyDescent="0.2">
      <c r="A6" s="4"/>
      <c r="B6" s="101"/>
      <c r="C6" s="10">
        <f>IF(DAY(JanSun1)=1,JanSun1+8,JanSun1+15)</f>
        <v>43115</v>
      </c>
      <c r="D6" s="10">
        <f>IF(DAY(JanSun1)=1,JanSun1+9,JanSun1+16)</f>
        <v>43116</v>
      </c>
      <c r="E6" s="10">
        <f>IF(DAY(JanSun1)=1,JanSun1+10,JanSun1+17)</f>
        <v>43117</v>
      </c>
      <c r="F6" s="10">
        <f>IF(DAY(JanSun1)=1,JanSun1+11,JanSun1+18)</f>
        <v>43118</v>
      </c>
      <c r="G6" s="10">
        <f>IF(DAY(JanSun1)=1,JanSun1+12,JanSun1+19)</f>
        <v>43119</v>
      </c>
      <c r="H6" s="10">
        <f>IF(DAY(JanSun1)=1,JanSun1+13,JanSun1+20)</f>
        <v>43120</v>
      </c>
      <c r="I6" s="10">
        <f>IF(DAY(JanSun1)=1,JanSun1+14,JanSun1+21)</f>
        <v>43121</v>
      </c>
      <c r="J6" s="5"/>
      <c r="K6" s="70"/>
      <c r="L6" s="17"/>
      <c r="M6" s="63"/>
      <c r="N6" s="64"/>
    </row>
    <row r="7" spans="1:14" ht="18" customHeight="1" x14ac:dyDescent="0.2">
      <c r="A7" s="4"/>
      <c r="B7" s="101"/>
      <c r="C7" s="10">
        <f>IF(DAY(JanSun1)=1,JanSun1+15,JanSun1+22)</f>
        <v>43122</v>
      </c>
      <c r="D7" s="10">
        <f>IF(DAY(JanSun1)=1,JanSun1+16,JanSun1+23)</f>
        <v>43123</v>
      </c>
      <c r="E7" s="10">
        <f>IF(DAY(JanSun1)=1,JanSun1+17,JanSun1+24)</f>
        <v>43124</v>
      </c>
      <c r="F7" s="10">
        <f>IF(DAY(JanSun1)=1,JanSun1+18,JanSun1+25)</f>
        <v>43125</v>
      </c>
      <c r="G7" s="10">
        <f>IF(DAY(JanSun1)=1,JanSun1+19,JanSun1+26)</f>
        <v>43126</v>
      </c>
      <c r="H7" s="10">
        <f>IF(DAY(JanSun1)=1,JanSun1+20,JanSun1+27)</f>
        <v>43127</v>
      </c>
      <c r="I7" s="10">
        <f>IF(DAY(JanSun1)=1,JanSun1+21,JanSun1+28)</f>
        <v>43128</v>
      </c>
      <c r="J7" s="5"/>
      <c r="K7" s="11"/>
      <c r="L7" s="17"/>
      <c r="M7" s="63"/>
      <c r="N7" s="64"/>
    </row>
    <row r="8" spans="1:14" ht="18.75" customHeight="1" x14ac:dyDescent="0.2">
      <c r="A8" s="4"/>
      <c r="B8" s="101"/>
      <c r="C8" s="10">
        <f>IF(DAY(JanSun1)=1,JanSun1+22,JanSun1+29)</f>
        <v>43129</v>
      </c>
      <c r="D8" s="10">
        <f>IF(DAY(JanSun1)=1,JanSun1+23,JanSun1+30)</f>
        <v>43130</v>
      </c>
      <c r="E8" s="10">
        <f>IF(DAY(JanSun1)=1,JanSun1+24,JanSun1+31)</f>
        <v>43131</v>
      </c>
      <c r="F8" s="10">
        <f>IF(DAY(JanSun1)=1,JanSun1+25,JanSun1+32)</f>
        <v>43132</v>
      </c>
      <c r="G8" s="10">
        <f>IF(DAY(JanSun1)=1,JanSun1+26,JanSun1+33)</f>
        <v>43133</v>
      </c>
      <c r="H8" s="10">
        <f>IF(DAY(JanSun1)=1,JanSun1+27,JanSun1+34)</f>
        <v>43134</v>
      </c>
      <c r="I8" s="10">
        <f>IF(DAY(JanSun1)=1,JanSun1+28,JanSun1+35)</f>
        <v>43135</v>
      </c>
      <c r="J8" s="5"/>
      <c r="K8" s="11"/>
      <c r="L8" s="17"/>
      <c r="M8" s="63"/>
      <c r="N8" s="64"/>
    </row>
    <row r="9" spans="1:14" ht="18" customHeight="1" x14ac:dyDescent="0.2">
      <c r="A9" s="4"/>
      <c r="B9" s="101"/>
      <c r="C9" s="10">
        <f>IF(DAY(JanSun1)=1,JanSun1+29,JanSun1+36)</f>
        <v>43136</v>
      </c>
      <c r="D9" s="10">
        <f>IF(DAY(JanSun1)=1,JanSun1+30,JanSun1+37)</f>
        <v>43137</v>
      </c>
      <c r="E9" s="10">
        <f>IF(DAY(JanSun1)=1,JanSun1+31,JanSun1+38)</f>
        <v>43138</v>
      </c>
      <c r="F9" s="10">
        <f>IF(DAY(JanSun1)=1,JanSun1+32,JanSun1+39)</f>
        <v>43139</v>
      </c>
      <c r="G9" s="10">
        <f>IF(DAY(JanSun1)=1,JanSun1+33,JanSun1+40)</f>
        <v>43140</v>
      </c>
      <c r="H9" s="10">
        <f>IF(DAY(JanSun1)=1,JanSun1+34,JanSun1+41)</f>
        <v>43141</v>
      </c>
      <c r="I9" s="10">
        <f>IF(DAY(JanSun1)=1,JanSun1+35,JanSun1+42)</f>
        <v>43142</v>
      </c>
      <c r="J9" s="5"/>
      <c r="K9" s="12"/>
      <c r="L9" s="18"/>
      <c r="M9" s="65"/>
      <c r="N9" s="66"/>
    </row>
    <row r="10" spans="1:14" ht="18" customHeight="1" x14ac:dyDescent="0.2">
      <c r="A10" s="4"/>
      <c r="B10" s="102"/>
      <c r="C10" s="23"/>
      <c r="D10" s="23"/>
      <c r="E10" s="23"/>
      <c r="F10" s="23"/>
      <c r="G10" s="23"/>
      <c r="H10" s="23"/>
      <c r="I10" s="23"/>
      <c r="J10" s="24"/>
      <c r="K10" s="69" t="s">
        <v>13</v>
      </c>
      <c r="L10" s="16">
        <v>18</v>
      </c>
      <c r="M10" s="67"/>
      <c r="N10" s="68"/>
    </row>
    <row r="11" spans="1:14" ht="18" customHeight="1" x14ac:dyDescent="0.2">
      <c r="A11" s="4"/>
      <c r="B11" s="103" t="s">
        <v>11</v>
      </c>
      <c r="C11" s="104"/>
      <c r="D11" s="104"/>
      <c r="E11" s="104"/>
      <c r="F11" s="104"/>
      <c r="G11" s="104"/>
      <c r="H11" s="104"/>
      <c r="I11" s="104"/>
      <c r="J11" s="105"/>
      <c r="K11" s="70"/>
      <c r="L11" s="17"/>
      <c r="M11" s="63"/>
      <c r="N11" s="64"/>
    </row>
    <row r="12" spans="1:14" ht="18" customHeight="1" x14ac:dyDescent="0.2">
      <c r="A12" s="4"/>
      <c r="B12" s="103"/>
      <c r="C12" s="104"/>
      <c r="D12" s="104"/>
      <c r="E12" s="104"/>
      <c r="F12" s="104"/>
      <c r="G12" s="104"/>
      <c r="H12" s="104"/>
      <c r="I12" s="104"/>
      <c r="J12" s="105"/>
      <c r="K12" s="70"/>
      <c r="L12" s="17"/>
      <c r="M12" s="63"/>
      <c r="N12" s="64"/>
    </row>
    <row r="13" spans="1:14" ht="18" customHeight="1" x14ac:dyDescent="0.2">
      <c r="B13" s="3" t="s">
        <v>12</v>
      </c>
      <c r="C13" s="71" t="s">
        <v>13</v>
      </c>
      <c r="D13" s="73"/>
      <c r="E13" s="71" t="s">
        <v>14</v>
      </c>
      <c r="F13" s="73"/>
      <c r="G13" s="71" t="s">
        <v>15</v>
      </c>
      <c r="H13" s="73"/>
      <c r="I13" s="71" t="s">
        <v>16</v>
      </c>
      <c r="J13" s="72"/>
      <c r="K13" s="11"/>
      <c r="L13" s="17"/>
      <c r="M13" s="63"/>
      <c r="N13" s="64"/>
    </row>
    <row r="14" spans="1:14" ht="18" customHeight="1" x14ac:dyDescent="0.2">
      <c r="B14" s="8"/>
      <c r="C14" s="85"/>
      <c r="D14" s="86"/>
      <c r="E14" s="85"/>
      <c r="F14" s="86"/>
      <c r="G14" s="85"/>
      <c r="H14" s="86"/>
      <c r="I14" s="85"/>
      <c r="J14" s="94"/>
      <c r="K14" s="11"/>
      <c r="L14" s="17"/>
      <c r="M14" s="63"/>
      <c r="N14" s="64"/>
    </row>
    <row r="15" spans="1:14" ht="18" customHeight="1" x14ac:dyDescent="0.2">
      <c r="B15" s="6"/>
      <c r="C15" s="83"/>
      <c r="D15" s="84"/>
      <c r="E15" s="83"/>
      <c r="F15" s="84"/>
      <c r="G15" s="83"/>
      <c r="H15" s="84"/>
      <c r="I15" s="91"/>
      <c r="J15" s="92"/>
      <c r="K15" s="13"/>
      <c r="L15" s="19"/>
      <c r="M15" s="65"/>
      <c r="N15" s="66"/>
    </row>
    <row r="16" spans="1:14" ht="18" customHeight="1" x14ac:dyDescent="0.2">
      <c r="B16" s="8"/>
      <c r="C16" s="85"/>
      <c r="D16" s="86"/>
      <c r="E16" s="85"/>
      <c r="F16" s="86"/>
      <c r="G16" s="85"/>
      <c r="H16" s="86"/>
      <c r="I16" s="95"/>
      <c r="J16" s="96"/>
      <c r="K16" s="61" t="s">
        <v>14</v>
      </c>
      <c r="L16" s="16"/>
      <c r="M16" s="67"/>
      <c r="N16" s="68"/>
    </row>
    <row r="17" spans="2:14" ht="18" customHeight="1" x14ac:dyDescent="0.2">
      <c r="B17" s="6"/>
      <c r="C17" s="83"/>
      <c r="D17" s="84"/>
      <c r="E17" s="83"/>
      <c r="F17" s="84"/>
      <c r="G17" s="83"/>
      <c r="H17" s="84"/>
      <c r="I17" s="91"/>
      <c r="J17" s="92"/>
      <c r="K17" s="62"/>
      <c r="L17" s="17"/>
      <c r="M17" s="63"/>
      <c r="N17" s="64"/>
    </row>
    <row r="18" spans="2:14" ht="18" customHeight="1" x14ac:dyDescent="0.2">
      <c r="B18" s="9"/>
      <c r="C18" s="87"/>
      <c r="D18" s="88"/>
      <c r="E18" s="87"/>
      <c r="F18" s="88"/>
      <c r="G18" s="87"/>
      <c r="H18" s="88"/>
      <c r="I18" s="87"/>
      <c r="J18" s="93"/>
      <c r="K18" s="62"/>
      <c r="L18" s="17"/>
      <c r="M18" s="63"/>
      <c r="N18" s="64"/>
    </row>
    <row r="19" spans="2:14" ht="18" customHeight="1" x14ac:dyDescent="0.2">
      <c r="B19" s="6"/>
      <c r="C19" s="83"/>
      <c r="D19" s="84"/>
      <c r="E19" s="83"/>
      <c r="F19" s="84"/>
      <c r="G19" s="83"/>
      <c r="H19" s="84"/>
      <c r="I19" s="91"/>
      <c r="J19" s="92"/>
      <c r="K19" s="11"/>
      <c r="L19" s="17"/>
      <c r="M19" s="63"/>
      <c r="N19" s="64"/>
    </row>
    <row r="20" spans="2:14" ht="18" customHeight="1" x14ac:dyDescent="0.2">
      <c r="B20" s="8"/>
      <c r="C20" s="85"/>
      <c r="D20" s="86"/>
      <c r="E20" s="85"/>
      <c r="F20" s="86"/>
      <c r="G20" s="85"/>
      <c r="H20" s="86"/>
      <c r="I20" s="85"/>
      <c r="J20" s="94"/>
      <c r="K20" s="11"/>
      <c r="L20" s="17"/>
      <c r="M20" s="63"/>
      <c r="N20" s="64"/>
    </row>
    <row r="21" spans="2:14" ht="18" customHeight="1" x14ac:dyDescent="0.2">
      <c r="B21" s="6"/>
      <c r="C21" s="83"/>
      <c r="D21" s="84"/>
      <c r="E21" s="83"/>
      <c r="F21" s="84"/>
      <c r="G21" s="83"/>
      <c r="H21" s="84"/>
      <c r="I21" s="97"/>
      <c r="J21" s="98"/>
      <c r="K21" s="13"/>
      <c r="L21" s="19"/>
      <c r="M21" s="65"/>
      <c r="N21" s="66"/>
    </row>
    <row r="22" spans="2:14" ht="18" customHeight="1" x14ac:dyDescent="0.2">
      <c r="B22" s="8"/>
      <c r="C22" s="85"/>
      <c r="D22" s="86"/>
      <c r="E22" s="85"/>
      <c r="F22" s="86"/>
      <c r="G22" s="85"/>
      <c r="H22" s="86"/>
      <c r="I22" s="85"/>
      <c r="J22" s="94"/>
      <c r="K22" s="61" t="s">
        <v>15</v>
      </c>
      <c r="L22" s="16"/>
      <c r="M22" s="67"/>
      <c r="N22" s="68"/>
    </row>
    <row r="23" spans="2:14" ht="18" customHeight="1" x14ac:dyDescent="0.2">
      <c r="B23" s="6"/>
      <c r="C23" s="83"/>
      <c r="D23" s="84"/>
      <c r="E23" s="83"/>
      <c r="F23" s="84"/>
      <c r="G23" s="83"/>
      <c r="H23" s="84"/>
      <c r="I23" s="91"/>
      <c r="J23" s="92"/>
      <c r="K23" s="62"/>
      <c r="L23" s="17"/>
      <c r="M23" s="63"/>
      <c r="N23" s="64"/>
    </row>
    <row r="24" spans="2:14" ht="18" customHeight="1" x14ac:dyDescent="0.2">
      <c r="B24" s="8"/>
      <c r="C24" s="85"/>
      <c r="D24" s="86"/>
      <c r="E24" s="85"/>
      <c r="F24" s="86"/>
      <c r="G24" s="85"/>
      <c r="H24" s="86"/>
      <c r="I24" s="85"/>
      <c r="J24" s="94"/>
      <c r="K24" s="62"/>
      <c r="L24" s="17"/>
      <c r="M24" s="63"/>
      <c r="N24" s="64"/>
    </row>
    <row r="25" spans="2:14" ht="18" customHeight="1" x14ac:dyDescent="0.2">
      <c r="B25" s="6"/>
      <c r="C25" s="83"/>
      <c r="D25" s="84"/>
      <c r="E25" s="83"/>
      <c r="F25" s="84"/>
      <c r="G25" s="83"/>
      <c r="H25" s="84"/>
      <c r="I25" s="91"/>
      <c r="J25" s="92"/>
      <c r="K25" s="62"/>
      <c r="L25" s="17"/>
      <c r="M25" s="63"/>
      <c r="N25" s="64"/>
    </row>
    <row r="26" spans="2:14" ht="18" customHeight="1" x14ac:dyDescent="0.2">
      <c r="B26" s="8"/>
      <c r="C26" s="85"/>
      <c r="D26" s="86"/>
      <c r="E26" s="85"/>
      <c r="F26" s="86"/>
      <c r="G26" s="85"/>
      <c r="H26" s="86"/>
      <c r="I26" s="85"/>
      <c r="J26" s="94"/>
      <c r="K26" s="11"/>
      <c r="L26" s="17"/>
      <c r="M26" s="63"/>
      <c r="N26" s="64"/>
    </row>
    <row r="27" spans="2:14" ht="18" customHeight="1" x14ac:dyDescent="0.2">
      <c r="B27" s="6"/>
      <c r="C27" s="83"/>
      <c r="D27" s="84"/>
      <c r="E27" s="83"/>
      <c r="F27" s="84"/>
      <c r="G27" s="83"/>
      <c r="H27" s="84"/>
      <c r="I27" s="91"/>
      <c r="J27" s="92"/>
      <c r="K27" s="13"/>
      <c r="L27" s="19"/>
      <c r="M27" s="65"/>
      <c r="N27" s="66"/>
    </row>
    <row r="28" spans="2:14" ht="18" customHeight="1" x14ac:dyDescent="0.2">
      <c r="B28" s="8"/>
      <c r="C28" s="85"/>
      <c r="D28" s="86"/>
      <c r="E28" s="85"/>
      <c r="F28" s="86"/>
      <c r="G28" s="85"/>
      <c r="H28" s="86"/>
      <c r="I28" s="85"/>
      <c r="J28" s="94"/>
      <c r="K28" s="69" t="s">
        <v>16</v>
      </c>
      <c r="L28" s="16"/>
      <c r="M28" s="67"/>
      <c r="N28" s="68"/>
    </row>
    <row r="29" spans="2:14" ht="18" customHeight="1" x14ac:dyDescent="0.2">
      <c r="B29" s="6"/>
      <c r="C29" s="83"/>
      <c r="D29" s="84"/>
      <c r="E29" s="83"/>
      <c r="F29" s="84"/>
      <c r="G29" s="83"/>
      <c r="H29" s="84"/>
      <c r="I29" s="83"/>
      <c r="J29" s="99"/>
      <c r="K29" s="70"/>
      <c r="L29" s="17"/>
      <c r="M29" s="63"/>
      <c r="N29" s="64"/>
    </row>
    <row r="30" spans="2:14" ht="18" customHeight="1" x14ac:dyDescent="0.2">
      <c r="B30" s="8"/>
      <c r="C30" s="85"/>
      <c r="D30" s="86"/>
      <c r="E30" s="85"/>
      <c r="F30" s="86"/>
      <c r="G30" s="85"/>
      <c r="H30" s="86"/>
      <c r="I30" s="108"/>
      <c r="J30" s="109"/>
      <c r="K30" s="70"/>
      <c r="L30" s="17"/>
      <c r="M30" s="63"/>
      <c r="N30" s="64"/>
    </row>
    <row r="31" spans="2:14" ht="18" customHeight="1" x14ac:dyDescent="0.2">
      <c r="B31" s="6"/>
      <c r="C31" s="83"/>
      <c r="D31" s="84"/>
      <c r="E31" s="83"/>
      <c r="F31" s="84"/>
      <c r="G31" s="83"/>
      <c r="H31" s="84"/>
      <c r="I31" s="83"/>
      <c r="J31" s="99"/>
      <c r="K31" s="14"/>
      <c r="L31" s="17"/>
      <c r="M31" s="63"/>
      <c r="N31" s="64"/>
    </row>
    <row r="32" spans="2:14" ht="18" customHeight="1" x14ac:dyDescent="0.2">
      <c r="B32" s="8"/>
      <c r="C32" s="85"/>
      <c r="D32" s="86"/>
      <c r="E32" s="85"/>
      <c r="F32" s="86"/>
      <c r="G32" s="85"/>
      <c r="H32" s="86"/>
      <c r="I32" s="95"/>
      <c r="J32" s="96"/>
      <c r="K32" s="14"/>
      <c r="L32" s="17"/>
      <c r="M32" s="63"/>
      <c r="N32" s="64"/>
    </row>
    <row r="33" spans="2:14" ht="18" customHeight="1" x14ac:dyDescent="0.2">
      <c r="B33" s="7"/>
      <c r="C33" s="89"/>
      <c r="D33" s="90"/>
      <c r="E33" s="89"/>
      <c r="F33" s="90"/>
      <c r="G33" s="89"/>
      <c r="H33" s="90"/>
      <c r="I33" s="110"/>
      <c r="J33" s="111"/>
      <c r="K33" s="15"/>
      <c r="L33" s="20"/>
      <c r="M33" s="106"/>
      <c r="N33" s="107"/>
    </row>
  </sheetData>
  <mergeCells count="123">
    <mergeCell ref="B2:B10"/>
    <mergeCell ref="B11:J12"/>
    <mergeCell ref="M31:N31"/>
    <mergeCell ref="M32:N32"/>
    <mergeCell ref="M33:N33"/>
    <mergeCell ref="M26:N26"/>
    <mergeCell ref="M27:N27"/>
    <mergeCell ref="M28:N28"/>
    <mergeCell ref="M29:N29"/>
    <mergeCell ref="M30:N30"/>
    <mergeCell ref="M21:N21"/>
    <mergeCell ref="M22:N22"/>
    <mergeCell ref="M23:N23"/>
    <mergeCell ref="M24:N24"/>
    <mergeCell ref="M25:N25"/>
    <mergeCell ref="G30:H30"/>
    <mergeCell ref="G31:H31"/>
    <mergeCell ref="G32:H32"/>
    <mergeCell ref="G33:H33"/>
    <mergeCell ref="I30:J30"/>
    <mergeCell ref="I31:J31"/>
    <mergeCell ref="I32:J32"/>
    <mergeCell ref="I33:J33"/>
    <mergeCell ref="I25:J25"/>
    <mergeCell ref="I26:J26"/>
    <mergeCell ref="I27:J27"/>
    <mergeCell ref="I28:J28"/>
    <mergeCell ref="I29:J29"/>
    <mergeCell ref="G25:H25"/>
    <mergeCell ref="G26:H26"/>
    <mergeCell ref="G27:H27"/>
    <mergeCell ref="G28:H28"/>
    <mergeCell ref="G29:H29"/>
    <mergeCell ref="I22:J22"/>
    <mergeCell ref="I23:J23"/>
    <mergeCell ref="G22:H22"/>
    <mergeCell ref="G23:H23"/>
    <mergeCell ref="G24:H24"/>
    <mergeCell ref="I24:J24"/>
    <mergeCell ref="G20:H20"/>
    <mergeCell ref="G21:H21"/>
    <mergeCell ref="I19:J19"/>
    <mergeCell ref="I20:J20"/>
    <mergeCell ref="I21:J21"/>
    <mergeCell ref="G17:H17"/>
    <mergeCell ref="I17:J17"/>
    <mergeCell ref="G18:H18"/>
    <mergeCell ref="I18:J18"/>
    <mergeCell ref="G19:H19"/>
    <mergeCell ref="G14:H14"/>
    <mergeCell ref="I14:J14"/>
    <mergeCell ref="G15:H15"/>
    <mergeCell ref="I15:J15"/>
    <mergeCell ref="G16:H16"/>
    <mergeCell ref="I16:J16"/>
    <mergeCell ref="E18:F18"/>
    <mergeCell ref="E17:F17"/>
    <mergeCell ref="E16:F16"/>
    <mergeCell ref="E15:F15"/>
    <mergeCell ref="E14:F14"/>
    <mergeCell ref="E23:F23"/>
    <mergeCell ref="E22:F22"/>
    <mergeCell ref="E21:F21"/>
    <mergeCell ref="E20:F20"/>
    <mergeCell ref="E19:F19"/>
    <mergeCell ref="E28:F28"/>
    <mergeCell ref="E27:F27"/>
    <mergeCell ref="E26:F26"/>
    <mergeCell ref="E25:F25"/>
    <mergeCell ref="E24:F24"/>
    <mergeCell ref="E33:F33"/>
    <mergeCell ref="E32:F32"/>
    <mergeCell ref="E31:F31"/>
    <mergeCell ref="E30:F30"/>
    <mergeCell ref="E29:F29"/>
    <mergeCell ref="C16:D16"/>
    <mergeCell ref="C17:D17"/>
    <mergeCell ref="C18:D18"/>
    <mergeCell ref="C29:D29"/>
    <mergeCell ref="C30:D30"/>
    <mergeCell ref="C31:D31"/>
    <mergeCell ref="C32:D32"/>
    <mergeCell ref="C33:D33"/>
    <mergeCell ref="C24:D24"/>
    <mergeCell ref="C25:D25"/>
    <mergeCell ref="C26:D26"/>
    <mergeCell ref="C27:D27"/>
    <mergeCell ref="C28:D28"/>
    <mergeCell ref="K28:K30"/>
    <mergeCell ref="I13:J13"/>
    <mergeCell ref="G13:H13"/>
    <mergeCell ref="E13:F13"/>
    <mergeCell ref="C13:D13"/>
    <mergeCell ref="K2:M3"/>
    <mergeCell ref="K10:K12"/>
    <mergeCell ref="K4:K6"/>
    <mergeCell ref="M4:N4"/>
    <mergeCell ref="M5:N5"/>
    <mergeCell ref="M6:N6"/>
    <mergeCell ref="M7:N7"/>
    <mergeCell ref="M8:N8"/>
    <mergeCell ref="M9:N9"/>
    <mergeCell ref="M10:N10"/>
    <mergeCell ref="M11:N11"/>
    <mergeCell ref="N2:N3"/>
    <mergeCell ref="C19:D19"/>
    <mergeCell ref="C20:D20"/>
    <mergeCell ref="C21:D21"/>
    <mergeCell ref="C22:D22"/>
    <mergeCell ref="C23:D23"/>
    <mergeCell ref="C14:D14"/>
    <mergeCell ref="C15:D15"/>
    <mergeCell ref="K16:K18"/>
    <mergeCell ref="K22:K25"/>
    <mergeCell ref="M12:N12"/>
    <mergeCell ref="M13:N13"/>
    <mergeCell ref="M14:N14"/>
    <mergeCell ref="M15:N15"/>
    <mergeCell ref="M16:N16"/>
    <mergeCell ref="M17:N17"/>
    <mergeCell ref="M18:N18"/>
    <mergeCell ref="M19:N19"/>
    <mergeCell ref="M20:N20"/>
  </mergeCells>
  <phoneticPr fontId="2" type="noConversion"/>
  <conditionalFormatting sqref="C4:H4">
    <cfRule type="expression" dxfId="49" priority="4" stopIfTrue="1">
      <formula>DAY(C4)&gt;8</formula>
    </cfRule>
  </conditionalFormatting>
  <conditionalFormatting sqref="C8:I10">
    <cfRule type="expression" dxfId="48" priority="3" stopIfTrue="1">
      <formula>AND(DAY(C8)&gt;=1,DAY(C8)&lt;=15)</formula>
    </cfRule>
  </conditionalFormatting>
  <conditionalFormatting sqref="C4:I9">
    <cfRule type="expression" dxfId="47" priority="15">
      <formula>VLOOKUP(DAY(C4),DíasDeTareas,1,FALSE)=DAY(C4)</formula>
    </cfRule>
  </conditionalFormatting>
  <conditionalFormatting sqref="B14:J33">
    <cfRule type="expression" dxfId="46" priority="1">
      <formula>B14&lt;&gt;""</formula>
    </cfRule>
  </conditionalFormatting>
  <dataValidations count="1">
    <dataValidation allowBlank="1" showInputMessage="1" showErrorMessage="1" errorTitle="Invalid Year" error="Enter a year from 1900 to 9999, or use the scroll bar to find a year." sqref="N2"/>
  </dataValidations>
  <printOptions horizontalCentered="1"/>
  <pageMargins left="0.5" right="0.5" top="0.5" bottom="0.5" header="0.3" footer="0.3"/>
  <pageSetup scale="63"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1025" r:id="rId4" name="Spinner 1">
              <controlPr defaultSize="0" print="0" autoPict="0" altText="Spinner control. Use spinner to change calendar year or type desired year in cell L2 ">
                <anchor moveWithCells="1">
                  <from>
                    <xdr:col>14</xdr:col>
                    <xdr:colOff>28575</xdr:colOff>
                    <xdr:row>1</xdr:row>
                    <xdr:rowOff>85725</xdr:rowOff>
                  </from>
                  <to>
                    <xdr:col>15</xdr:col>
                    <xdr:colOff>0</xdr:colOff>
                    <xdr:row>2</xdr:row>
                    <xdr:rowOff>161925</xdr:rowOff>
                  </to>
                </anchor>
              </controlPr>
            </control>
          </mc:Choice>
        </mc:AlternateContent>
      </controls>
    </mc:Choice>
  </mc:AlternateContent>
  <extLst>
    <ext xmlns:mx="http://schemas.microsoft.com/office/mac/excel/2008/main" uri="{64002731-A6B0-56B0-2670-7721B7C09600}">
      <mx:PLV Mode="0" OnePage="0" WScale="0"/>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N33"/>
  <sheetViews>
    <sheetView showGridLines="0" topLeftCell="B7" zoomScaleNormal="100" zoomScalePageLayoutView="84" workbookViewId="0">
      <selection activeCell="M14" sqref="M14:N14"/>
    </sheetView>
  </sheetViews>
  <sheetFormatPr baseColWidth="10" defaultColWidth="8.7109375" defaultRowHeight="16.5" customHeight="1" x14ac:dyDescent="0.2"/>
  <cols>
    <col min="1" max="1" width="2.28515625" style="27" customWidth="1"/>
    <col min="2" max="2" width="12.7109375" style="27" customWidth="1"/>
    <col min="3" max="10" width="6.7109375" style="27" customWidth="1"/>
    <col min="11" max="11" width="7.28515625" style="27" customWidth="1"/>
    <col min="12" max="12" width="3.85546875" style="27" customWidth="1"/>
    <col min="13" max="13" width="51.42578125" style="27" customWidth="1"/>
    <col min="14" max="14" width="10.7109375" style="27" customWidth="1"/>
    <col min="15" max="15" width="2.28515625" style="27" customWidth="1"/>
    <col min="16" max="22" width="8.85546875" style="27" customWidth="1"/>
    <col min="23" max="16384" width="8.7109375" style="27"/>
  </cols>
  <sheetData>
    <row r="1" spans="1:14" ht="11.25" customHeight="1" x14ac:dyDescent="0.2"/>
    <row r="2" spans="1:14" ht="18" customHeight="1" x14ac:dyDescent="0.2">
      <c r="A2" s="28"/>
      <c r="B2" s="132" t="s">
        <v>18</v>
      </c>
      <c r="C2" s="29"/>
      <c r="D2" s="29"/>
      <c r="E2" s="29"/>
      <c r="F2" s="29"/>
      <c r="G2" s="29"/>
      <c r="H2" s="29"/>
      <c r="I2" s="29"/>
      <c r="J2" s="30"/>
      <c r="K2" s="135" t="s">
        <v>3</v>
      </c>
      <c r="L2" s="136">
        <v>2013</v>
      </c>
      <c r="M2" s="136"/>
      <c r="N2" s="31"/>
    </row>
    <row r="3" spans="1:14" ht="21" customHeight="1" x14ac:dyDescent="0.2">
      <c r="A3" s="28"/>
      <c r="B3" s="133"/>
      <c r="C3" s="32" t="s">
        <v>5</v>
      </c>
      <c r="D3" s="32" t="s">
        <v>1</v>
      </c>
      <c r="E3" s="32" t="s">
        <v>6</v>
      </c>
      <c r="F3" s="32" t="s">
        <v>7</v>
      </c>
      <c r="G3" s="32" t="s">
        <v>8</v>
      </c>
      <c r="H3" s="32" t="s">
        <v>0</v>
      </c>
      <c r="I3" s="32" t="s">
        <v>9</v>
      </c>
      <c r="J3" s="33"/>
      <c r="K3" s="137"/>
      <c r="L3" s="138"/>
      <c r="M3" s="138"/>
      <c r="N3" s="34"/>
    </row>
    <row r="4" spans="1:14" ht="18" customHeight="1" x14ac:dyDescent="0.2">
      <c r="A4" s="28"/>
      <c r="B4" s="133"/>
      <c r="C4" s="35">
        <f>IF(DAY(OctDom1)=1,OctDom1-6,OctDom1+1)</f>
        <v>43374</v>
      </c>
      <c r="D4" s="35">
        <f>IF(DAY(OctDom1)=1,OctDom1-5,OctDom1+2)</f>
        <v>43375</v>
      </c>
      <c r="E4" s="35">
        <f>IF(DAY(OctDom1)=1,OctDom1-4,OctDom1+3)</f>
        <v>43376</v>
      </c>
      <c r="F4" s="35">
        <f>IF(DAY(OctDom1)=1,OctDom1-3,OctDom1+4)</f>
        <v>43377</v>
      </c>
      <c r="G4" s="35">
        <f>IF(DAY(OctDom1)=1,OctDom1-2,OctDom1+5)</f>
        <v>43378</v>
      </c>
      <c r="H4" s="35">
        <f>IF(DAY(OctDom1)=1,OctDom1-1,OctDom1+6)</f>
        <v>43379</v>
      </c>
      <c r="I4" s="35">
        <f>IF(DAY(OctDom1)=1,OctDom1,OctDom1+7)</f>
        <v>43380</v>
      </c>
      <c r="J4" s="33"/>
      <c r="K4" s="139" t="s">
        <v>12</v>
      </c>
      <c r="L4" s="50"/>
      <c r="M4" s="140"/>
      <c r="N4" s="141"/>
    </row>
    <row r="5" spans="1:14" ht="18" customHeight="1" x14ac:dyDescent="0.2">
      <c r="A5" s="28"/>
      <c r="B5" s="133"/>
      <c r="C5" s="35">
        <f>IF(DAY(OctDom1)=1,OctDom1+1,OctDom1+8)</f>
        <v>43381</v>
      </c>
      <c r="D5" s="35">
        <f>IF(DAY(OctDom1)=1,OctDom1+2,OctDom1+9)</f>
        <v>43382</v>
      </c>
      <c r="E5" s="35">
        <f>IF(DAY(OctDom1)=1,OctDom1+3,OctDom1+10)</f>
        <v>43383</v>
      </c>
      <c r="F5" s="35">
        <f>IF(DAY(OctDom1)=1,OctDom1+4,OctDom1+11)</f>
        <v>43384</v>
      </c>
      <c r="G5" s="35">
        <f>IF(DAY(OctDom1)=1,OctDom1+5,OctDom1+12)</f>
        <v>43385</v>
      </c>
      <c r="H5" s="35">
        <f>IF(DAY(OctDom1)=1,OctDom1+6,OctDom1+13)</f>
        <v>43386</v>
      </c>
      <c r="I5" s="35">
        <f>IF(DAY(OctDom1)=1,OctDom1+7,OctDom1+14)</f>
        <v>43387</v>
      </c>
      <c r="J5" s="33"/>
      <c r="K5" s="113"/>
      <c r="L5" s="51"/>
      <c r="M5" s="114"/>
      <c r="N5" s="115"/>
    </row>
    <row r="6" spans="1:14" ht="18" customHeight="1" x14ac:dyDescent="0.2">
      <c r="A6" s="28"/>
      <c r="B6" s="133"/>
      <c r="C6" s="35">
        <f>IF(DAY(OctDom1)=1,OctDom1+8,OctDom1+15)</f>
        <v>43388</v>
      </c>
      <c r="D6" s="35">
        <f>IF(DAY(OctDom1)=1,OctDom1+9,OctDom1+16)</f>
        <v>43389</v>
      </c>
      <c r="E6" s="35">
        <f>IF(DAY(OctDom1)=1,OctDom1+10,OctDom1+17)</f>
        <v>43390</v>
      </c>
      <c r="F6" s="35">
        <f>IF(DAY(OctDom1)=1,OctDom1+11,OctDom1+18)</f>
        <v>43391</v>
      </c>
      <c r="G6" s="35">
        <f>IF(DAY(OctDom1)=1,OctDom1+12,OctDom1+19)</f>
        <v>43392</v>
      </c>
      <c r="H6" s="35">
        <f>IF(DAY(OctDom1)=1,OctDom1+13,OctDom1+20)</f>
        <v>43393</v>
      </c>
      <c r="I6" s="35">
        <f>IF(DAY(OctDom1)=1,OctDom1+14,OctDom1+21)</f>
        <v>43394</v>
      </c>
      <c r="J6" s="33"/>
      <c r="K6" s="113"/>
      <c r="L6" s="51"/>
      <c r="M6" s="114"/>
      <c r="N6" s="115"/>
    </row>
    <row r="7" spans="1:14" ht="30" customHeight="1" x14ac:dyDescent="0.2">
      <c r="A7" s="28"/>
      <c r="B7" s="133"/>
      <c r="C7" s="35">
        <f>IF(DAY(OctDom1)=1,OctDom1+15,OctDom1+22)</f>
        <v>43395</v>
      </c>
      <c r="D7" s="35">
        <f>IF(DAY(OctDom1)=1,OctDom1+16,OctDom1+23)</f>
        <v>43396</v>
      </c>
      <c r="E7" s="35">
        <f>IF(DAY(OctDom1)=1,OctDom1+17,OctDom1+24)</f>
        <v>43397</v>
      </c>
      <c r="F7" s="35">
        <f>IF(DAY(OctDom1)=1,OctDom1+18,OctDom1+25)</f>
        <v>43398</v>
      </c>
      <c r="G7" s="35">
        <f>IF(DAY(OctDom1)=1,OctDom1+19,OctDom1+26)</f>
        <v>43399</v>
      </c>
      <c r="H7" s="35">
        <f>IF(DAY(OctDom1)=1,OctDom1+20,OctDom1+27)</f>
        <v>43400</v>
      </c>
      <c r="I7" s="35">
        <f>IF(DAY(OctDom1)=1,OctDom1+21,OctDom1+28)</f>
        <v>43401</v>
      </c>
      <c r="J7" s="33"/>
      <c r="K7" s="37"/>
      <c r="L7" s="51">
        <v>22</v>
      </c>
      <c r="M7" s="116" t="s">
        <v>27</v>
      </c>
      <c r="N7" s="117"/>
    </row>
    <row r="8" spans="1:14" ht="28.5" customHeight="1" x14ac:dyDescent="0.2">
      <c r="A8" s="28"/>
      <c r="B8" s="133"/>
      <c r="C8" s="35">
        <f>IF(DAY(OctDom1)=1,OctDom1+22,OctDom1+29)</f>
        <v>43402</v>
      </c>
      <c r="D8" s="35">
        <f>IF(DAY(OctDom1)=1,OctDom1+23,OctDom1+30)</f>
        <v>43403</v>
      </c>
      <c r="E8" s="35">
        <f>IF(DAY(OctDom1)=1,OctDom1+24,OctDom1+31)</f>
        <v>43404</v>
      </c>
      <c r="F8" s="35">
        <f>IF(DAY(OctDom1)=1,OctDom1+25,OctDom1+32)</f>
        <v>43405</v>
      </c>
      <c r="G8" s="35">
        <f>IF(DAY(OctDom1)=1,OctDom1+26,OctDom1+33)</f>
        <v>43406</v>
      </c>
      <c r="H8" s="35">
        <f>IF(DAY(OctDom1)=1,OctDom1+27,OctDom1+34)</f>
        <v>43407</v>
      </c>
      <c r="I8" s="35">
        <f>IF(DAY(OctDom1)=1,OctDom1+28,OctDom1+35)</f>
        <v>43408</v>
      </c>
      <c r="J8" s="33"/>
      <c r="K8" s="37"/>
      <c r="L8" s="51">
        <v>29</v>
      </c>
      <c r="M8" s="116" t="s">
        <v>32</v>
      </c>
      <c r="N8" s="117"/>
    </row>
    <row r="9" spans="1:14" ht="18" customHeight="1" x14ac:dyDescent="0.2">
      <c r="A9" s="28"/>
      <c r="B9" s="133"/>
      <c r="C9" s="35">
        <f>IF(DAY(OctDom1)=1,OctDom1+29,OctDom1+36)</f>
        <v>43409</v>
      </c>
      <c r="D9" s="35">
        <f>IF(DAY(OctDom1)=1,OctDom1+30,OctDom1+37)</f>
        <v>43410</v>
      </c>
      <c r="E9" s="35">
        <f>IF(DAY(OctDom1)=1,OctDom1+31,OctDom1+38)</f>
        <v>43411</v>
      </c>
      <c r="F9" s="35">
        <f>IF(DAY(OctDom1)=1,OctDom1+32,OctDom1+39)</f>
        <v>43412</v>
      </c>
      <c r="G9" s="35">
        <f>IF(DAY(OctDom1)=1,OctDom1+33,OctDom1+40)</f>
        <v>43413</v>
      </c>
      <c r="H9" s="35">
        <f>IF(DAY(OctDom1)=1,OctDom1+34,OctDom1+41)</f>
        <v>43414</v>
      </c>
      <c r="I9" s="35">
        <f>IF(DAY(OctDom1)=1,OctDom1+35,OctDom1+42)</f>
        <v>43415</v>
      </c>
      <c r="J9" s="33"/>
      <c r="K9" s="38"/>
      <c r="L9" s="52"/>
      <c r="M9" s="118"/>
      <c r="N9" s="119"/>
    </row>
    <row r="10" spans="1:14" ht="18" customHeight="1" x14ac:dyDescent="0.2">
      <c r="A10" s="28"/>
      <c r="B10" s="134"/>
      <c r="C10" s="39"/>
      <c r="D10" s="39"/>
      <c r="E10" s="39"/>
      <c r="F10" s="39"/>
      <c r="G10" s="39"/>
      <c r="H10" s="39"/>
      <c r="I10" s="39"/>
      <c r="J10" s="40"/>
      <c r="K10" s="112" t="s">
        <v>13</v>
      </c>
      <c r="L10" s="50"/>
      <c r="M10" s="124"/>
      <c r="N10" s="125"/>
    </row>
    <row r="11" spans="1:14" ht="18" customHeight="1" x14ac:dyDescent="0.2">
      <c r="A11" s="28"/>
      <c r="B11" s="126" t="s">
        <v>11</v>
      </c>
      <c r="C11" s="127"/>
      <c r="D11" s="127"/>
      <c r="E11" s="127"/>
      <c r="F11" s="127"/>
      <c r="G11" s="127"/>
      <c r="H11" s="127"/>
      <c r="I11" s="127"/>
      <c r="J11" s="128"/>
      <c r="K11" s="113"/>
      <c r="L11" s="51"/>
      <c r="M11" s="114"/>
      <c r="N11" s="115"/>
    </row>
    <row r="12" spans="1:14" ht="18" customHeight="1" x14ac:dyDescent="0.2">
      <c r="A12" s="28"/>
      <c r="B12" s="126"/>
      <c r="C12" s="127"/>
      <c r="D12" s="127"/>
      <c r="E12" s="127"/>
      <c r="F12" s="127"/>
      <c r="G12" s="127"/>
      <c r="H12" s="127"/>
      <c r="I12" s="127"/>
      <c r="J12" s="128"/>
      <c r="K12" s="113"/>
      <c r="L12" s="51"/>
      <c r="M12" s="114"/>
      <c r="N12" s="115"/>
    </row>
    <row r="13" spans="1:14" ht="30" customHeight="1" x14ac:dyDescent="0.2">
      <c r="B13" s="41" t="s">
        <v>12</v>
      </c>
      <c r="C13" s="129" t="s">
        <v>13</v>
      </c>
      <c r="D13" s="130"/>
      <c r="E13" s="129" t="s">
        <v>14</v>
      </c>
      <c r="F13" s="130"/>
      <c r="G13" s="129" t="s">
        <v>15</v>
      </c>
      <c r="H13" s="130"/>
      <c r="I13" s="129" t="s">
        <v>16</v>
      </c>
      <c r="J13" s="131"/>
      <c r="K13" s="37"/>
      <c r="L13" s="51">
        <v>23</v>
      </c>
      <c r="M13" s="116" t="s">
        <v>79</v>
      </c>
      <c r="N13" s="117"/>
    </row>
    <row r="14" spans="1:14" ht="39" customHeight="1" x14ac:dyDescent="0.2">
      <c r="B14" s="42"/>
      <c r="C14" s="120"/>
      <c r="D14" s="121"/>
      <c r="E14" s="120"/>
      <c r="F14" s="121"/>
      <c r="G14" s="120"/>
      <c r="H14" s="121"/>
      <c r="I14" s="144"/>
      <c r="J14" s="145"/>
      <c r="K14" s="37"/>
      <c r="L14" s="51">
        <v>30</v>
      </c>
      <c r="M14" s="122" t="s">
        <v>33</v>
      </c>
      <c r="N14" s="123"/>
    </row>
    <row r="15" spans="1:14" ht="12.75" x14ac:dyDescent="0.2">
      <c r="B15" s="43"/>
      <c r="C15" s="142"/>
      <c r="D15" s="143"/>
      <c r="E15" s="142"/>
      <c r="F15" s="143"/>
      <c r="G15" s="142"/>
      <c r="H15" s="143"/>
      <c r="I15" s="144"/>
      <c r="J15" s="145"/>
      <c r="K15" s="44"/>
      <c r="L15" s="53"/>
      <c r="M15" s="118"/>
      <c r="N15" s="119"/>
    </row>
    <row r="16" spans="1:14" ht="34.5" customHeight="1" x14ac:dyDescent="0.2">
      <c r="B16" s="42"/>
      <c r="C16" s="120"/>
      <c r="D16" s="121"/>
      <c r="E16" s="120"/>
      <c r="F16" s="121"/>
      <c r="G16" s="120"/>
      <c r="H16" s="121"/>
      <c r="I16" s="144"/>
      <c r="J16" s="145"/>
      <c r="K16" s="150" t="s">
        <v>14</v>
      </c>
      <c r="L16" s="50"/>
      <c r="M16" s="152"/>
      <c r="N16" s="153"/>
    </row>
    <row r="17" spans="2:14" ht="18" customHeight="1" x14ac:dyDescent="0.2">
      <c r="B17" s="43"/>
      <c r="C17" s="142"/>
      <c r="D17" s="143"/>
      <c r="E17" s="142"/>
      <c r="F17" s="143"/>
      <c r="G17" s="142"/>
      <c r="H17" s="143"/>
      <c r="I17" s="144"/>
      <c r="J17" s="145"/>
      <c r="K17" s="151"/>
      <c r="L17" s="51"/>
      <c r="M17" s="114"/>
      <c r="N17" s="115"/>
    </row>
    <row r="18" spans="2:14" ht="36.75" customHeight="1" x14ac:dyDescent="0.2">
      <c r="B18" s="45"/>
      <c r="C18" s="148"/>
      <c r="D18" s="149"/>
      <c r="E18" s="148"/>
      <c r="F18" s="149"/>
      <c r="G18" s="148"/>
      <c r="H18" s="149"/>
      <c r="I18" s="144"/>
      <c r="J18" s="145"/>
      <c r="K18" s="151"/>
      <c r="L18" s="51">
        <v>17</v>
      </c>
      <c r="M18" s="58" t="s">
        <v>34</v>
      </c>
      <c r="N18" s="59"/>
    </row>
    <row r="19" spans="2:14" ht="18" customHeight="1" x14ac:dyDescent="0.2">
      <c r="B19" s="43"/>
      <c r="C19" s="142"/>
      <c r="D19" s="143"/>
      <c r="E19" s="142"/>
      <c r="F19" s="143"/>
      <c r="G19" s="142"/>
      <c r="H19" s="143"/>
      <c r="I19" s="144"/>
      <c r="J19" s="145"/>
      <c r="K19" s="37"/>
      <c r="L19" s="51">
        <v>24</v>
      </c>
      <c r="M19" s="60" t="s">
        <v>35</v>
      </c>
    </row>
    <row r="20" spans="2:14" ht="18" customHeight="1" x14ac:dyDescent="0.2">
      <c r="B20" s="42"/>
      <c r="C20" s="120"/>
      <c r="D20" s="121"/>
      <c r="E20" s="120"/>
      <c r="F20" s="121"/>
      <c r="G20" s="120"/>
      <c r="H20" s="121"/>
      <c r="I20" s="144"/>
      <c r="J20" s="145"/>
      <c r="K20" s="37"/>
      <c r="L20" s="51">
        <v>31</v>
      </c>
      <c r="M20" s="114" t="s">
        <v>28</v>
      </c>
      <c r="N20" s="115"/>
    </row>
    <row r="21" spans="2:14" ht="18" customHeight="1" x14ac:dyDescent="0.2">
      <c r="B21" s="43"/>
      <c r="C21" s="142"/>
      <c r="D21" s="143"/>
      <c r="E21" s="142"/>
      <c r="F21" s="143"/>
      <c r="G21" s="142"/>
      <c r="H21" s="143"/>
      <c r="I21" s="144"/>
      <c r="J21" s="145"/>
      <c r="K21" s="44"/>
      <c r="L21" s="53"/>
      <c r="M21" s="118"/>
      <c r="N21" s="119"/>
    </row>
    <row r="22" spans="2:14" ht="30" customHeight="1" x14ac:dyDescent="0.2">
      <c r="B22" s="42"/>
      <c r="C22" s="120"/>
      <c r="D22" s="121"/>
      <c r="E22" s="120"/>
      <c r="F22" s="121"/>
      <c r="G22" s="120"/>
      <c r="H22" s="121"/>
      <c r="I22" s="144"/>
      <c r="J22" s="145"/>
      <c r="K22" s="150" t="s">
        <v>15</v>
      </c>
      <c r="L22" s="50"/>
      <c r="M22" s="152"/>
      <c r="N22" s="153"/>
    </row>
    <row r="23" spans="2:14" ht="18" customHeight="1" x14ac:dyDescent="0.2">
      <c r="B23" s="43"/>
      <c r="C23" s="142"/>
      <c r="D23" s="143"/>
      <c r="E23" s="142"/>
      <c r="F23" s="143"/>
      <c r="G23" s="142"/>
      <c r="H23" s="143"/>
      <c r="I23" s="144"/>
      <c r="J23" s="145"/>
      <c r="K23" s="151"/>
      <c r="L23" s="51"/>
      <c r="M23" s="114"/>
      <c r="N23" s="115"/>
    </row>
    <row r="24" spans="2:14" ht="28.5" customHeight="1" x14ac:dyDescent="0.2">
      <c r="B24" s="42"/>
      <c r="C24" s="120"/>
      <c r="D24" s="121"/>
      <c r="E24" s="120"/>
      <c r="F24" s="121"/>
      <c r="G24" s="120"/>
      <c r="H24" s="121"/>
      <c r="I24" s="144"/>
      <c r="J24" s="145"/>
      <c r="K24" s="151"/>
      <c r="L24" s="51">
        <v>18</v>
      </c>
      <c r="M24" s="122" t="s">
        <v>36</v>
      </c>
      <c r="N24" s="123"/>
    </row>
    <row r="25" spans="2:14" ht="18" customHeight="1" x14ac:dyDescent="0.2">
      <c r="B25" s="43"/>
      <c r="C25" s="142"/>
      <c r="D25" s="143"/>
      <c r="E25" s="142"/>
      <c r="F25" s="143"/>
      <c r="G25" s="142"/>
      <c r="H25" s="143"/>
      <c r="I25" s="144"/>
      <c r="J25" s="145"/>
      <c r="K25" s="151"/>
      <c r="L25" s="51">
        <v>25</v>
      </c>
      <c r="M25" s="114" t="s">
        <v>37</v>
      </c>
      <c r="N25" s="115"/>
    </row>
    <row r="26" spans="2:14" ht="18" customHeight="1" x14ac:dyDescent="0.2">
      <c r="B26" s="42"/>
      <c r="C26" s="120"/>
      <c r="D26" s="121"/>
      <c r="E26" s="120"/>
      <c r="F26" s="121"/>
      <c r="G26" s="120"/>
      <c r="H26" s="121"/>
      <c r="I26" s="144"/>
      <c r="J26" s="145"/>
      <c r="K26" s="37"/>
      <c r="L26" s="51"/>
      <c r="M26" s="114"/>
      <c r="N26" s="115"/>
    </row>
    <row r="27" spans="2:14" ht="18" customHeight="1" x14ac:dyDescent="0.2">
      <c r="B27" s="43"/>
      <c r="C27" s="142"/>
      <c r="D27" s="143"/>
      <c r="E27" s="142"/>
      <c r="F27" s="143"/>
      <c r="G27" s="142"/>
      <c r="H27" s="143"/>
      <c r="I27" s="144"/>
      <c r="J27" s="145"/>
      <c r="K27" s="44"/>
      <c r="L27" s="53"/>
      <c r="M27" s="118"/>
      <c r="N27" s="119"/>
    </row>
    <row r="28" spans="2:14" ht="18" customHeight="1" x14ac:dyDescent="0.2">
      <c r="B28" s="42"/>
      <c r="C28" s="120"/>
      <c r="D28" s="121"/>
      <c r="E28" s="120"/>
      <c r="F28" s="121"/>
      <c r="G28" s="120"/>
      <c r="H28" s="121"/>
      <c r="I28" s="144"/>
      <c r="J28" s="145"/>
      <c r="K28" s="112" t="s">
        <v>16</v>
      </c>
      <c r="L28" s="50"/>
      <c r="M28" s="124"/>
      <c r="N28" s="125"/>
    </row>
    <row r="29" spans="2:14" ht="18" customHeight="1" x14ac:dyDescent="0.2">
      <c r="B29" s="43"/>
      <c r="C29" s="142"/>
      <c r="D29" s="143"/>
      <c r="E29" s="142"/>
      <c r="F29" s="143"/>
      <c r="G29" s="142"/>
      <c r="H29" s="143"/>
      <c r="I29" s="146"/>
      <c r="J29" s="147"/>
      <c r="K29" s="113"/>
      <c r="L29" s="51"/>
      <c r="M29" s="114"/>
      <c r="N29" s="115"/>
    </row>
    <row r="30" spans="2:14" ht="33" customHeight="1" x14ac:dyDescent="0.2">
      <c r="B30" s="160" t="s">
        <v>39</v>
      </c>
      <c r="C30" s="161"/>
      <c r="D30" s="161"/>
      <c r="E30" s="161"/>
      <c r="F30" s="161"/>
      <c r="G30" s="161"/>
      <c r="H30" s="161"/>
      <c r="I30" s="161"/>
      <c r="J30" s="162"/>
      <c r="K30" s="113"/>
      <c r="L30" s="51">
        <v>19</v>
      </c>
      <c r="M30" s="116" t="s">
        <v>40</v>
      </c>
      <c r="N30" s="117"/>
    </row>
    <row r="31" spans="2:14" ht="18" customHeight="1" x14ac:dyDescent="0.2">
      <c r="B31" s="163"/>
      <c r="C31" s="164"/>
      <c r="D31" s="164"/>
      <c r="E31" s="164"/>
      <c r="F31" s="164"/>
      <c r="G31" s="164"/>
      <c r="H31" s="164"/>
      <c r="I31" s="164"/>
      <c r="J31" s="145"/>
      <c r="K31" s="46"/>
      <c r="L31" s="51">
        <v>26</v>
      </c>
      <c r="M31" s="114" t="s">
        <v>38</v>
      </c>
      <c r="N31" s="115"/>
    </row>
    <row r="32" spans="2:14" ht="18" customHeight="1" x14ac:dyDescent="0.2">
      <c r="B32" s="163"/>
      <c r="C32" s="164"/>
      <c r="D32" s="164"/>
      <c r="E32" s="164"/>
      <c r="F32" s="164"/>
      <c r="G32" s="164"/>
      <c r="H32" s="164"/>
      <c r="I32" s="164"/>
      <c r="J32" s="145"/>
      <c r="K32" s="46"/>
      <c r="L32" s="51"/>
      <c r="M32" s="114"/>
      <c r="N32" s="115"/>
    </row>
    <row r="33" spans="2:14" ht="18" customHeight="1" x14ac:dyDescent="0.2">
      <c r="B33" s="47"/>
      <c r="C33" s="154"/>
      <c r="D33" s="155"/>
      <c r="E33" s="154"/>
      <c r="F33" s="155"/>
      <c r="G33" s="154"/>
      <c r="H33" s="155"/>
      <c r="I33" s="156"/>
      <c r="J33" s="157"/>
      <c r="K33" s="48"/>
      <c r="L33" s="49"/>
      <c r="M33" s="158"/>
      <c r="N33" s="159"/>
    </row>
  </sheetData>
  <mergeCells count="94">
    <mergeCell ref="M31:N31"/>
    <mergeCell ref="M32:N32"/>
    <mergeCell ref="B30:J32"/>
    <mergeCell ref="M29:N29"/>
    <mergeCell ref="M7:N7"/>
    <mergeCell ref="M13:N13"/>
    <mergeCell ref="M30:N30"/>
    <mergeCell ref="C28:D28"/>
    <mergeCell ref="E28:F28"/>
    <mergeCell ref="G28:H28"/>
    <mergeCell ref="K28:K30"/>
    <mergeCell ref="M28:N28"/>
    <mergeCell ref="C29:D29"/>
    <mergeCell ref="E29:F29"/>
    <mergeCell ref="G29:H29"/>
    <mergeCell ref="C26:D26"/>
    <mergeCell ref="C33:D33"/>
    <mergeCell ref="E33:F33"/>
    <mergeCell ref="G33:H33"/>
    <mergeCell ref="I33:J33"/>
    <mergeCell ref="M33:N33"/>
    <mergeCell ref="E26:F26"/>
    <mergeCell ref="G26:H26"/>
    <mergeCell ref="M26:N26"/>
    <mergeCell ref="C27:D27"/>
    <mergeCell ref="E27:F27"/>
    <mergeCell ref="G27:H27"/>
    <mergeCell ref="M27:N27"/>
    <mergeCell ref="C24:D24"/>
    <mergeCell ref="E24:F24"/>
    <mergeCell ref="G24:H24"/>
    <mergeCell ref="M24:N24"/>
    <mergeCell ref="C25:D25"/>
    <mergeCell ref="E25:F25"/>
    <mergeCell ref="G25:H25"/>
    <mergeCell ref="M25:N25"/>
    <mergeCell ref="C19:D19"/>
    <mergeCell ref="E19:F19"/>
    <mergeCell ref="G19:H19"/>
    <mergeCell ref="M22:N22"/>
    <mergeCell ref="C23:D23"/>
    <mergeCell ref="E23:F23"/>
    <mergeCell ref="G23:H23"/>
    <mergeCell ref="M23:N23"/>
    <mergeCell ref="C21:D21"/>
    <mergeCell ref="E21:F21"/>
    <mergeCell ref="G21:H21"/>
    <mergeCell ref="M21:N21"/>
    <mergeCell ref="C22:D22"/>
    <mergeCell ref="E22:F22"/>
    <mergeCell ref="G22:H22"/>
    <mergeCell ref="K22:K25"/>
    <mergeCell ref="E20:F20"/>
    <mergeCell ref="G20:H20"/>
    <mergeCell ref="M20:N20"/>
    <mergeCell ref="E17:F17"/>
    <mergeCell ref="G17:H17"/>
    <mergeCell ref="C15:D15"/>
    <mergeCell ref="E15:F15"/>
    <mergeCell ref="G15:H15"/>
    <mergeCell ref="M15:N15"/>
    <mergeCell ref="I14:J29"/>
    <mergeCell ref="M17:N17"/>
    <mergeCell ref="C18:D18"/>
    <mergeCell ref="E18:F18"/>
    <mergeCell ref="G18:H18"/>
    <mergeCell ref="C16:D16"/>
    <mergeCell ref="E16:F16"/>
    <mergeCell ref="G16:H16"/>
    <mergeCell ref="K16:K18"/>
    <mergeCell ref="M16:N16"/>
    <mergeCell ref="C17:D17"/>
    <mergeCell ref="C20:D20"/>
    <mergeCell ref="C14:D14"/>
    <mergeCell ref="E14:F14"/>
    <mergeCell ref="G14:H14"/>
    <mergeCell ref="M14:N14"/>
    <mergeCell ref="M10:N10"/>
    <mergeCell ref="B11:J12"/>
    <mergeCell ref="M11:N11"/>
    <mergeCell ref="M12:N12"/>
    <mergeCell ref="C13:D13"/>
    <mergeCell ref="E13:F13"/>
    <mergeCell ref="G13:H13"/>
    <mergeCell ref="I13:J13"/>
    <mergeCell ref="B2:B10"/>
    <mergeCell ref="K2:M3"/>
    <mergeCell ref="K4:K6"/>
    <mergeCell ref="M4:N4"/>
    <mergeCell ref="K10:K12"/>
    <mergeCell ref="M5:N5"/>
    <mergeCell ref="M6:N6"/>
    <mergeCell ref="M8:N8"/>
    <mergeCell ref="M9:N9"/>
  </mergeCells>
  <conditionalFormatting sqref="C4:H4">
    <cfRule type="expression" dxfId="13" priority="3" stopIfTrue="1">
      <formula>DAY(C4)&gt;8</formula>
    </cfRule>
  </conditionalFormatting>
  <conditionalFormatting sqref="C8:I10">
    <cfRule type="expression" dxfId="12" priority="2" stopIfTrue="1">
      <formula>AND(DAY(C8)&gt;=1,DAY(C8)&lt;=15)</formula>
    </cfRule>
  </conditionalFormatting>
  <conditionalFormatting sqref="C4:I9">
    <cfRule type="expression" dxfId="11" priority="4">
      <formula>VLOOKUP(DAY(C4),DíasDeTareas,1,FALSE)=DAY(C4)</formula>
    </cfRule>
  </conditionalFormatting>
  <conditionalFormatting sqref="B33:J33 B30 B15:H29 B14:I14">
    <cfRule type="expression" dxfId="10" priority="1">
      <formula>B14&lt;&gt;""</formula>
    </cfRule>
  </conditionalFormatting>
  <printOptions horizontalCentered="1"/>
  <pageMargins left="0.5" right="0.5" top="0.5" bottom="0.5" header="0.3" footer="0.3"/>
  <pageSetup scale="63"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N33"/>
  <sheetViews>
    <sheetView showGridLines="0" zoomScaleNormal="100" zoomScalePageLayoutView="84" workbookViewId="0">
      <selection activeCell="M4" sqref="M4:N4"/>
    </sheetView>
  </sheetViews>
  <sheetFormatPr baseColWidth="10" defaultColWidth="8.7109375" defaultRowHeight="16.5" customHeight="1" x14ac:dyDescent="0.2"/>
  <cols>
    <col min="1" max="1" width="2.28515625" style="27" customWidth="1"/>
    <col min="2" max="2" width="12.7109375" style="27" customWidth="1"/>
    <col min="3" max="10" width="6.7109375" style="27" customWidth="1"/>
    <col min="11" max="11" width="7.28515625" style="27" customWidth="1"/>
    <col min="12" max="12" width="3.85546875" style="27" customWidth="1"/>
    <col min="13" max="13" width="51.42578125" style="27" customWidth="1"/>
    <col min="14" max="14" width="14.7109375" style="27" customWidth="1"/>
    <col min="15" max="15" width="2.28515625" style="27" customWidth="1"/>
    <col min="16" max="22" width="8.85546875" style="27" customWidth="1"/>
    <col min="23" max="16384" width="8.7109375" style="27"/>
  </cols>
  <sheetData>
    <row r="1" spans="1:14" ht="11.25" customHeight="1" x14ac:dyDescent="0.2"/>
    <row r="2" spans="1:14" ht="18" customHeight="1" x14ac:dyDescent="0.2">
      <c r="A2" s="28"/>
      <c r="B2" s="132" t="s">
        <v>17</v>
      </c>
      <c r="C2" s="29"/>
      <c r="D2" s="29"/>
      <c r="E2" s="29"/>
      <c r="F2" s="29"/>
      <c r="G2" s="29"/>
      <c r="H2" s="29"/>
      <c r="I2" s="29"/>
      <c r="J2" s="30"/>
      <c r="K2" s="135" t="s">
        <v>3</v>
      </c>
      <c r="L2" s="136">
        <v>2013</v>
      </c>
      <c r="M2" s="136"/>
      <c r="N2" s="31"/>
    </row>
    <row r="3" spans="1:14" ht="21" customHeight="1" x14ac:dyDescent="0.2">
      <c r="A3" s="28"/>
      <c r="B3" s="133"/>
      <c r="C3" s="32" t="s">
        <v>5</v>
      </c>
      <c r="D3" s="32" t="s">
        <v>1</v>
      </c>
      <c r="E3" s="32" t="s">
        <v>6</v>
      </c>
      <c r="F3" s="32" t="s">
        <v>7</v>
      </c>
      <c r="G3" s="32" t="s">
        <v>8</v>
      </c>
      <c r="H3" s="32" t="s">
        <v>0</v>
      </c>
      <c r="I3" s="32" t="s">
        <v>9</v>
      </c>
      <c r="J3" s="33"/>
      <c r="K3" s="137"/>
      <c r="L3" s="138"/>
      <c r="M3" s="138"/>
      <c r="N3" s="34"/>
    </row>
    <row r="4" spans="1:14" ht="31.5" customHeight="1" x14ac:dyDescent="0.2">
      <c r="A4" s="28"/>
      <c r="B4" s="133"/>
      <c r="C4" s="35">
        <f>IF(DAY(NovDom1)=1,NovDom1-6,NovDom1+1)</f>
        <v>43402</v>
      </c>
      <c r="D4" s="35">
        <f>IF(DAY(NovDom1)=1,NovDom1-5,NovDom1+2)</f>
        <v>43403</v>
      </c>
      <c r="E4" s="35">
        <f>IF(DAY(NovDom1)=1,NovDom1-4,NovDom1+3)</f>
        <v>43404</v>
      </c>
      <c r="F4" s="35">
        <f>IF(DAY(NovDom1)=1,NovDom1-3,NovDom1+4)</f>
        <v>43405</v>
      </c>
      <c r="G4" s="35">
        <f>IF(DAY(NovDom1)=1,NovDom1-2,NovDom1+5)</f>
        <v>43406</v>
      </c>
      <c r="H4" s="35">
        <f>IF(DAY(NovDom1)=1,NovDom1-1,NovDom1+6)</f>
        <v>43407</v>
      </c>
      <c r="I4" s="35">
        <f>IF(DAY(NovDom1)=1,NovDom1,NovDom1+7)</f>
        <v>43408</v>
      </c>
      <c r="J4" s="33"/>
      <c r="K4" s="139" t="s">
        <v>12</v>
      </c>
      <c r="L4" s="50">
        <v>5</v>
      </c>
      <c r="M4" s="122" t="s">
        <v>78</v>
      </c>
      <c r="N4" s="123"/>
    </row>
    <row r="5" spans="1:14" ht="27.75" customHeight="1" x14ac:dyDescent="0.2">
      <c r="A5" s="28"/>
      <c r="B5" s="133"/>
      <c r="C5" s="35">
        <f>IF(DAY(NovDom1)=1,NovDom1+1,NovDom1+8)</f>
        <v>43409</v>
      </c>
      <c r="D5" s="35">
        <f>IF(DAY(NovDom1)=1,NovDom1+2,NovDom1+9)</f>
        <v>43410</v>
      </c>
      <c r="E5" s="35">
        <f>IF(DAY(NovDom1)=1,NovDom1+3,NovDom1+10)</f>
        <v>43411</v>
      </c>
      <c r="F5" s="35">
        <f>IF(DAY(NovDom1)=1,NovDom1+4,NovDom1+11)</f>
        <v>43412</v>
      </c>
      <c r="G5" s="35">
        <f>IF(DAY(NovDom1)=1,NovDom1+5,NovDom1+12)</f>
        <v>43413</v>
      </c>
      <c r="H5" s="35">
        <f>IF(DAY(NovDom1)=1,NovDom1+6,NovDom1+13)</f>
        <v>43414</v>
      </c>
      <c r="I5" s="35">
        <f>IF(DAY(NovDom1)=1,NovDom1+7,NovDom1+14)</f>
        <v>43415</v>
      </c>
      <c r="J5" s="33"/>
      <c r="K5" s="113"/>
      <c r="L5" s="51">
        <v>12</v>
      </c>
      <c r="M5" s="165" t="s">
        <v>77</v>
      </c>
      <c r="N5" s="165"/>
    </row>
    <row r="6" spans="1:14" ht="18" customHeight="1" x14ac:dyDescent="0.2">
      <c r="A6" s="28"/>
      <c r="B6" s="133"/>
      <c r="C6" s="35">
        <f>IF(DAY(NovDom1)=1,NovDom1+8,NovDom1+15)</f>
        <v>43416</v>
      </c>
      <c r="D6" s="35">
        <f>IF(DAY(NovDom1)=1,NovDom1+9,NovDom1+16)</f>
        <v>43417</v>
      </c>
      <c r="E6" s="35">
        <f>IF(DAY(NovDom1)=1,NovDom1+10,NovDom1+17)</f>
        <v>43418</v>
      </c>
      <c r="F6" s="35">
        <f>IF(DAY(NovDom1)=1,NovDom1+11,NovDom1+18)</f>
        <v>43419</v>
      </c>
      <c r="G6" s="35">
        <f>IF(DAY(NovDom1)=1,NovDom1+12,NovDom1+19)</f>
        <v>43420</v>
      </c>
      <c r="H6" s="35">
        <f>IF(DAY(NovDom1)=1,NovDom1+13,NovDom1+20)</f>
        <v>43421</v>
      </c>
      <c r="I6" s="35">
        <f>IF(DAY(NovDom1)=1,NovDom1+14,NovDom1+21)</f>
        <v>43422</v>
      </c>
      <c r="J6" s="33"/>
      <c r="K6" s="113"/>
      <c r="L6" s="51">
        <v>19</v>
      </c>
      <c r="M6" s="114" t="s">
        <v>76</v>
      </c>
      <c r="N6" s="115"/>
    </row>
    <row r="7" spans="1:14" ht="26.25" customHeight="1" x14ac:dyDescent="0.2">
      <c r="A7" s="28"/>
      <c r="B7" s="133"/>
      <c r="C7" s="35">
        <f>IF(DAY(NovDom1)=1,NovDom1+15,NovDom1+22)</f>
        <v>43423</v>
      </c>
      <c r="D7" s="35">
        <f>IF(DAY(NovDom1)=1,NovDom1+16,NovDom1+23)</f>
        <v>43424</v>
      </c>
      <c r="E7" s="35">
        <f>IF(DAY(NovDom1)=1,NovDom1+17,NovDom1+24)</f>
        <v>43425</v>
      </c>
      <c r="F7" s="35">
        <f>IF(DAY(NovDom1)=1,NovDom1+18,NovDom1+25)</f>
        <v>43426</v>
      </c>
      <c r="G7" s="35">
        <f>IF(DAY(NovDom1)=1,NovDom1+19,NovDom1+26)</f>
        <v>43427</v>
      </c>
      <c r="H7" s="35">
        <f>IF(DAY(NovDom1)=1,NovDom1+20,NovDom1+27)</f>
        <v>43428</v>
      </c>
      <c r="I7" s="35">
        <f>IF(DAY(NovDom1)=1,NovDom1+21,NovDom1+28)</f>
        <v>43429</v>
      </c>
      <c r="J7" s="33"/>
      <c r="K7" s="37"/>
      <c r="L7" s="51">
        <v>26</v>
      </c>
      <c r="M7" s="122" t="s">
        <v>75</v>
      </c>
      <c r="N7" s="123"/>
    </row>
    <row r="8" spans="1:14" ht="18.75" customHeight="1" x14ac:dyDescent="0.2">
      <c r="A8" s="28"/>
      <c r="B8" s="133"/>
      <c r="C8" s="35">
        <f>IF(DAY(NovDom1)=1,NovDom1+22,NovDom1+29)</f>
        <v>43430</v>
      </c>
      <c r="D8" s="35">
        <f>IF(DAY(NovDom1)=1,NovDom1+23,NovDom1+30)</f>
        <v>43431</v>
      </c>
      <c r="E8" s="35">
        <f>IF(DAY(NovDom1)=1,NovDom1+24,NovDom1+31)</f>
        <v>43432</v>
      </c>
      <c r="F8" s="35">
        <f>IF(DAY(NovDom1)=1,NovDom1+25,NovDom1+32)</f>
        <v>43433</v>
      </c>
      <c r="G8" s="35">
        <f>IF(DAY(NovDom1)=1,NovDom1+26,NovDom1+33)</f>
        <v>43434</v>
      </c>
      <c r="H8" s="35">
        <f>IF(DAY(NovDom1)=1,NovDom1+27,NovDom1+34)</f>
        <v>43435</v>
      </c>
      <c r="I8" s="35">
        <f>IF(DAY(NovDom1)=1,NovDom1+28,NovDom1+35)</f>
        <v>43436</v>
      </c>
      <c r="J8" s="33"/>
      <c r="K8" s="37"/>
      <c r="L8" s="51">
        <v>29</v>
      </c>
      <c r="M8" s="114"/>
      <c r="N8" s="115"/>
    </row>
    <row r="9" spans="1:14" ht="18" customHeight="1" x14ac:dyDescent="0.2">
      <c r="A9" s="28"/>
      <c r="B9" s="133"/>
      <c r="C9" s="35">
        <f>IF(DAY(NovDom1)=1,NovDom1+29,NovDom1+36)</f>
        <v>43437</v>
      </c>
      <c r="D9" s="35">
        <f>IF(DAY(NovDom1)=1,NovDom1+30,NovDom1+37)</f>
        <v>43438</v>
      </c>
      <c r="E9" s="35">
        <f>IF(DAY(NovDom1)=1,NovDom1+31,NovDom1+38)</f>
        <v>43439</v>
      </c>
      <c r="F9" s="35">
        <f>IF(DAY(NovDom1)=1,NovDom1+32,NovDom1+39)</f>
        <v>43440</v>
      </c>
      <c r="G9" s="35">
        <f>IF(DAY(NovDom1)=1,NovDom1+33,NovDom1+40)</f>
        <v>43441</v>
      </c>
      <c r="H9" s="35">
        <f>IF(DAY(NovDom1)=1,NovDom1+34,NovDom1+41)</f>
        <v>43442</v>
      </c>
      <c r="I9" s="35">
        <f>IF(DAY(NovDom1)=1,NovDom1+35,NovDom1+42)</f>
        <v>43443</v>
      </c>
      <c r="J9" s="33"/>
      <c r="K9" s="38"/>
      <c r="L9" s="52"/>
      <c r="M9" s="118"/>
      <c r="N9" s="119"/>
    </row>
    <row r="10" spans="1:14" ht="37.5" customHeight="1" x14ac:dyDescent="0.2">
      <c r="A10" s="28"/>
      <c r="B10" s="134"/>
      <c r="C10" s="39"/>
      <c r="D10" s="39"/>
      <c r="E10" s="39"/>
      <c r="F10" s="39"/>
      <c r="G10" s="39"/>
      <c r="H10" s="39"/>
      <c r="I10" s="39"/>
      <c r="J10" s="40"/>
      <c r="K10" s="112" t="s">
        <v>13</v>
      </c>
      <c r="L10" s="50">
        <v>6</v>
      </c>
      <c r="M10" s="152" t="s">
        <v>57</v>
      </c>
      <c r="N10" s="153"/>
    </row>
    <row r="11" spans="1:14" ht="36" customHeight="1" x14ac:dyDescent="0.2">
      <c r="A11" s="28"/>
      <c r="B11" s="126" t="s">
        <v>11</v>
      </c>
      <c r="C11" s="127"/>
      <c r="D11" s="127"/>
      <c r="E11" s="127"/>
      <c r="F11" s="127"/>
      <c r="G11" s="127"/>
      <c r="H11" s="127"/>
      <c r="I11" s="127"/>
      <c r="J11" s="128"/>
      <c r="K11" s="113"/>
      <c r="L11" s="51">
        <v>13</v>
      </c>
      <c r="M11" s="165" t="s">
        <v>74</v>
      </c>
      <c r="N11" s="166"/>
    </row>
    <row r="12" spans="1:14" ht="38.25" customHeight="1" x14ac:dyDescent="0.2">
      <c r="A12" s="28"/>
      <c r="B12" s="126"/>
      <c r="C12" s="127"/>
      <c r="D12" s="127"/>
      <c r="E12" s="127"/>
      <c r="F12" s="127"/>
      <c r="G12" s="127"/>
      <c r="H12" s="127"/>
      <c r="I12" s="127"/>
      <c r="J12" s="128"/>
      <c r="K12" s="113"/>
      <c r="L12" s="51">
        <v>20</v>
      </c>
      <c r="M12" s="122" t="s">
        <v>43</v>
      </c>
      <c r="N12" s="123"/>
    </row>
    <row r="13" spans="1:14" ht="18" customHeight="1" x14ac:dyDescent="0.2">
      <c r="B13" s="41" t="s">
        <v>12</v>
      </c>
      <c r="C13" s="129" t="s">
        <v>13</v>
      </c>
      <c r="D13" s="130"/>
      <c r="E13" s="129" t="s">
        <v>14</v>
      </c>
      <c r="F13" s="130"/>
      <c r="G13" s="129" t="s">
        <v>15</v>
      </c>
      <c r="H13" s="130"/>
      <c r="I13" s="129" t="s">
        <v>16</v>
      </c>
      <c r="J13" s="131"/>
      <c r="K13" s="37"/>
      <c r="L13" s="51">
        <v>27</v>
      </c>
      <c r="M13" s="114" t="s">
        <v>30</v>
      </c>
      <c r="N13" s="115"/>
    </row>
    <row r="14" spans="1:14" ht="18" customHeight="1" x14ac:dyDescent="0.2">
      <c r="B14" s="42"/>
      <c r="C14" s="120"/>
      <c r="D14" s="121"/>
      <c r="E14" s="120"/>
      <c r="F14" s="121"/>
      <c r="G14" s="120"/>
      <c r="H14" s="121"/>
      <c r="I14" s="144"/>
      <c r="J14" s="145"/>
      <c r="K14" s="37"/>
      <c r="L14" s="51"/>
      <c r="M14" s="114"/>
      <c r="N14" s="115"/>
    </row>
    <row r="15" spans="1:14" ht="18" customHeight="1" x14ac:dyDescent="0.2">
      <c r="B15" s="43"/>
      <c r="C15" s="142"/>
      <c r="D15" s="143"/>
      <c r="E15" s="142"/>
      <c r="F15" s="143"/>
      <c r="G15" s="142"/>
      <c r="H15" s="143"/>
      <c r="I15" s="144"/>
      <c r="J15" s="145"/>
      <c r="K15" s="44"/>
      <c r="L15" s="53"/>
      <c r="M15" s="118"/>
      <c r="N15" s="119"/>
    </row>
    <row r="16" spans="1:14" ht="18" customHeight="1" x14ac:dyDescent="0.2">
      <c r="B16" s="42"/>
      <c r="C16" s="120"/>
      <c r="D16" s="121"/>
      <c r="E16" s="120"/>
      <c r="F16" s="121"/>
      <c r="G16" s="120"/>
      <c r="H16" s="121"/>
      <c r="I16" s="144"/>
      <c r="J16" s="145"/>
      <c r="K16" s="150" t="s">
        <v>14</v>
      </c>
      <c r="L16" s="50"/>
      <c r="M16" s="124"/>
      <c r="N16" s="125"/>
    </row>
    <row r="17" spans="2:14" ht="18" customHeight="1" x14ac:dyDescent="0.2">
      <c r="B17" s="43"/>
      <c r="C17" s="142"/>
      <c r="D17" s="143"/>
      <c r="E17" s="142"/>
      <c r="F17" s="143"/>
      <c r="G17" s="142"/>
      <c r="H17" s="143"/>
      <c r="I17" s="144"/>
      <c r="J17" s="145"/>
      <c r="K17" s="151"/>
      <c r="L17" s="51">
        <v>7</v>
      </c>
      <c r="M17" s="114" t="s">
        <v>41</v>
      </c>
      <c r="N17" s="115"/>
    </row>
    <row r="18" spans="2:14" ht="18" customHeight="1" x14ac:dyDescent="0.2">
      <c r="B18" s="45"/>
      <c r="C18" s="148"/>
      <c r="D18" s="149"/>
      <c r="E18" s="148"/>
      <c r="F18" s="149"/>
      <c r="G18" s="148"/>
      <c r="H18" s="149"/>
      <c r="I18" s="144"/>
      <c r="J18" s="145"/>
      <c r="K18" s="151"/>
      <c r="L18" s="51">
        <v>14</v>
      </c>
      <c r="M18" s="114"/>
      <c r="N18" s="115"/>
    </row>
    <row r="19" spans="2:14" ht="18" customHeight="1" x14ac:dyDescent="0.2">
      <c r="B19" s="43"/>
      <c r="C19" s="142"/>
      <c r="D19" s="143"/>
      <c r="E19" s="142"/>
      <c r="F19" s="143"/>
      <c r="G19" s="142"/>
      <c r="H19" s="143"/>
      <c r="I19" s="144"/>
      <c r="J19" s="145"/>
      <c r="K19" s="37"/>
      <c r="L19" s="51">
        <v>21</v>
      </c>
      <c r="M19" s="114" t="s">
        <v>44</v>
      </c>
      <c r="N19" s="115"/>
    </row>
    <row r="20" spans="2:14" ht="18" customHeight="1" x14ac:dyDescent="0.2">
      <c r="B20" s="42"/>
      <c r="C20" s="120"/>
      <c r="D20" s="121"/>
      <c r="E20" s="120"/>
      <c r="F20" s="121"/>
      <c r="G20" s="120"/>
      <c r="H20" s="121"/>
      <c r="I20" s="144"/>
      <c r="J20" s="145"/>
      <c r="K20" s="37"/>
      <c r="L20" s="51">
        <v>28</v>
      </c>
      <c r="M20" s="114" t="s">
        <v>45</v>
      </c>
      <c r="N20" s="115"/>
    </row>
    <row r="21" spans="2:14" ht="18" customHeight="1" x14ac:dyDescent="0.2">
      <c r="B21" s="43"/>
      <c r="C21" s="142"/>
      <c r="D21" s="143"/>
      <c r="E21" s="142"/>
      <c r="F21" s="143"/>
      <c r="G21" s="142"/>
      <c r="H21" s="143"/>
      <c r="I21" s="144"/>
      <c r="J21" s="145"/>
      <c r="K21" s="44"/>
      <c r="L21" s="53"/>
      <c r="M21" s="118"/>
      <c r="N21" s="119"/>
    </row>
    <row r="22" spans="2:14" ht="27.75" customHeight="1" x14ac:dyDescent="0.2">
      <c r="B22" s="42"/>
      <c r="C22" s="120"/>
      <c r="D22" s="121"/>
      <c r="E22" s="120"/>
      <c r="F22" s="121"/>
      <c r="G22" s="120"/>
      <c r="H22" s="121"/>
      <c r="I22" s="144"/>
      <c r="J22" s="145"/>
      <c r="K22" s="150" t="s">
        <v>15</v>
      </c>
      <c r="L22" s="50">
        <v>1</v>
      </c>
      <c r="M22" s="152" t="s">
        <v>58</v>
      </c>
      <c r="N22" s="153"/>
    </row>
    <row r="23" spans="2:14" ht="18" customHeight="1" x14ac:dyDescent="0.2">
      <c r="B23" s="43"/>
      <c r="C23" s="142"/>
      <c r="D23" s="143"/>
      <c r="E23" s="142"/>
      <c r="F23" s="143"/>
      <c r="G23" s="142"/>
      <c r="H23" s="143"/>
      <c r="I23" s="144"/>
      <c r="J23" s="145"/>
      <c r="K23" s="151"/>
      <c r="L23" s="51">
        <v>8</v>
      </c>
      <c r="M23" s="114" t="s">
        <v>42</v>
      </c>
      <c r="N23" s="115"/>
    </row>
    <row r="24" spans="2:14" ht="18" customHeight="1" x14ac:dyDescent="0.2">
      <c r="B24" s="42"/>
      <c r="C24" s="120"/>
      <c r="D24" s="121"/>
      <c r="E24" s="120"/>
      <c r="F24" s="121"/>
      <c r="G24" s="120"/>
      <c r="H24" s="121"/>
      <c r="I24" s="144"/>
      <c r="J24" s="145"/>
      <c r="K24" s="151"/>
      <c r="L24" s="51">
        <v>15</v>
      </c>
      <c r="M24" s="114"/>
      <c r="N24" s="115"/>
    </row>
    <row r="25" spans="2:14" ht="36" customHeight="1" x14ac:dyDescent="0.2">
      <c r="B25" s="43"/>
      <c r="C25" s="142"/>
      <c r="D25" s="143"/>
      <c r="E25" s="142"/>
      <c r="F25" s="143"/>
      <c r="G25" s="142"/>
      <c r="H25" s="143"/>
      <c r="I25" s="144"/>
      <c r="J25" s="145"/>
      <c r="K25" s="151"/>
      <c r="L25" s="51">
        <v>22</v>
      </c>
      <c r="M25" s="122" t="s">
        <v>73</v>
      </c>
      <c r="N25" s="123"/>
    </row>
    <row r="26" spans="2:14" ht="28.5" customHeight="1" x14ac:dyDescent="0.2">
      <c r="B26" s="42"/>
      <c r="C26" s="120"/>
      <c r="D26" s="121"/>
      <c r="E26" s="120"/>
      <c r="F26" s="121"/>
      <c r="G26" s="120"/>
      <c r="H26" s="121"/>
      <c r="I26" s="144"/>
      <c r="J26" s="145"/>
      <c r="K26" s="37"/>
      <c r="L26" s="51">
        <v>29</v>
      </c>
      <c r="M26" s="122" t="s">
        <v>46</v>
      </c>
      <c r="N26" s="123"/>
    </row>
    <row r="27" spans="2:14" ht="18" customHeight="1" x14ac:dyDescent="0.2">
      <c r="B27" s="43"/>
      <c r="C27" s="142"/>
      <c r="D27" s="143"/>
      <c r="E27" s="142"/>
      <c r="F27" s="143"/>
      <c r="G27" s="142"/>
      <c r="H27" s="143"/>
      <c r="I27" s="146"/>
      <c r="J27" s="147"/>
      <c r="K27" s="44"/>
      <c r="L27" s="53"/>
      <c r="M27" s="118"/>
      <c r="N27" s="119"/>
    </row>
    <row r="28" spans="2:14" ht="18" customHeight="1" x14ac:dyDescent="0.2">
      <c r="B28" s="160" t="s">
        <v>56</v>
      </c>
      <c r="C28" s="161"/>
      <c r="D28" s="161"/>
      <c r="E28" s="161"/>
      <c r="F28" s="161"/>
      <c r="G28" s="161"/>
      <c r="H28" s="161"/>
      <c r="I28" s="161"/>
      <c r="J28" s="162"/>
      <c r="K28" s="112" t="s">
        <v>16</v>
      </c>
      <c r="L28" s="50"/>
      <c r="M28" s="124"/>
      <c r="N28" s="125"/>
    </row>
    <row r="29" spans="2:14" ht="18" customHeight="1" x14ac:dyDescent="0.2">
      <c r="B29" s="163"/>
      <c r="C29" s="164"/>
      <c r="D29" s="164"/>
      <c r="E29" s="164"/>
      <c r="F29" s="164"/>
      <c r="G29" s="164"/>
      <c r="H29" s="164"/>
      <c r="I29" s="164"/>
      <c r="J29" s="145"/>
      <c r="K29" s="113"/>
      <c r="L29" s="51">
        <v>2</v>
      </c>
      <c r="M29" s="114" t="s">
        <v>29</v>
      </c>
      <c r="N29" s="115"/>
    </row>
    <row r="30" spans="2:14" ht="33" customHeight="1" x14ac:dyDescent="0.2">
      <c r="B30" s="163"/>
      <c r="C30" s="164"/>
      <c r="D30" s="164"/>
      <c r="E30" s="164"/>
      <c r="F30" s="164"/>
      <c r="G30" s="164"/>
      <c r="H30" s="164"/>
      <c r="I30" s="164"/>
      <c r="J30" s="145"/>
      <c r="K30" s="113"/>
      <c r="L30" s="51">
        <v>9</v>
      </c>
      <c r="M30" s="122" t="s">
        <v>47</v>
      </c>
      <c r="N30" s="123"/>
    </row>
    <row r="31" spans="2:14" ht="54.75" customHeight="1" x14ac:dyDescent="0.2">
      <c r="B31" s="43"/>
      <c r="C31" s="142"/>
      <c r="D31" s="143"/>
      <c r="E31" s="142"/>
      <c r="F31" s="143"/>
      <c r="G31" s="142"/>
      <c r="H31" s="143"/>
      <c r="I31" s="142"/>
      <c r="J31" s="169"/>
      <c r="K31" s="46"/>
      <c r="L31" s="51">
        <v>16</v>
      </c>
      <c r="M31" s="122" t="s">
        <v>48</v>
      </c>
      <c r="N31" s="123"/>
    </row>
    <row r="32" spans="2:14" ht="18" customHeight="1" x14ac:dyDescent="0.2">
      <c r="B32" s="42"/>
      <c r="C32" s="120"/>
      <c r="D32" s="121"/>
      <c r="E32" s="120"/>
      <c r="F32" s="121"/>
      <c r="G32" s="120"/>
      <c r="H32" s="121"/>
      <c r="I32" s="170"/>
      <c r="J32" s="171"/>
      <c r="K32" s="46"/>
      <c r="L32" s="36">
        <v>23</v>
      </c>
      <c r="M32" s="114" t="s">
        <v>49</v>
      </c>
      <c r="N32" s="115"/>
    </row>
    <row r="33" spans="2:14" ht="18" customHeight="1" x14ac:dyDescent="0.2">
      <c r="B33" s="47"/>
      <c r="C33" s="154"/>
      <c r="D33" s="155"/>
      <c r="E33" s="154"/>
      <c r="F33" s="155"/>
      <c r="G33" s="154"/>
      <c r="H33" s="155"/>
      <c r="I33" s="156"/>
      <c r="J33" s="157"/>
      <c r="K33" s="48"/>
      <c r="L33" s="49">
        <v>30</v>
      </c>
      <c r="M33" s="167" t="s">
        <v>50</v>
      </c>
      <c r="N33" s="168"/>
    </row>
  </sheetData>
  <mergeCells count="98">
    <mergeCell ref="C32:D32"/>
    <mergeCell ref="E32:F32"/>
    <mergeCell ref="G32:H32"/>
    <mergeCell ref="I32:J32"/>
    <mergeCell ref="M32:N32"/>
    <mergeCell ref="C31:D31"/>
    <mergeCell ref="E31:F31"/>
    <mergeCell ref="G31:H31"/>
    <mergeCell ref="I31:J31"/>
    <mergeCell ref="M31:N31"/>
    <mergeCell ref="C33:D33"/>
    <mergeCell ref="E33:F33"/>
    <mergeCell ref="G33:H33"/>
    <mergeCell ref="I33:J33"/>
    <mergeCell ref="M33:N33"/>
    <mergeCell ref="C26:D26"/>
    <mergeCell ref="E26:F26"/>
    <mergeCell ref="G26:H26"/>
    <mergeCell ref="M26:N26"/>
    <mergeCell ref="C27:D27"/>
    <mergeCell ref="E27:F27"/>
    <mergeCell ref="G27:H27"/>
    <mergeCell ref="M27:N27"/>
    <mergeCell ref="M29:N29"/>
    <mergeCell ref="M30:N30"/>
    <mergeCell ref="K28:K30"/>
    <mergeCell ref="M28:N28"/>
    <mergeCell ref="B28:J30"/>
    <mergeCell ref="C21:D21"/>
    <mergeCell ref="E21:F21"/>
    <mergeCell ref="G21:H21"/>
    <mergeCell ref="M21:N21"/>
    <mergeCell ref="C22:D22"/>
    <mergeCell ref="E22:F22"/>
    <mergeCell ref="G22:H22"/>
    <mergeCell ref="K22:K25"/>
    <mergeCell ref="C24:D24"/>
    <mergeCell ref="E24:F24"/>
    <mergeCell ref="G24:H24"/>
    <mergeCell ref="M24:N24"/>
    <mergeCell ref="C25:D25"/>
    <mergeCell ref="E25:F25"/>
    <mergeCell ref="G25:H25"/>
    <mergeCell ref="M25:N25"/>
    <mergeCell ref="M22:N22"/>
    <mergeCell ref="C23:D23"/>
    <mergeCell ref="E23:F23"/>
    <mergeCell ref="G23:H23"/>
    <mergeCell ref="M23:N23"/>
    <mergeCell ref="M19:N19"/>
    <mergeCell ref="C20:D20"/>
    <mergeCell ref="E20:F20"/>
    <mergeCell ref="G20:H20"/>
    <mergeCell ref="M20:N20"/>
    <mergeCell ref="E17:F17"/>
    <mergeCell ref="G17:H17"/>
    <mergeCell ref="C19:D19"/>
    <mergeCell ref="E19:F19"/>
    <mergeCell ref="G19:H19"/>
    <mergeCell ref="C15:D15"/>
    <mergeCell ref="E15:F15"/>
    <mergeCell ref="G15:H15"/>
    <mergeCell ref="M15:N15"/>
    <mergeCell ref="I14:J27"/>
    <mergeCell ref="M17:N17"/>
    <mergeCell ref="C18:D18"/>
    <mergeCell ref="E18:F18"/>
    <mergeCell ref="G18:H18"/>
    <mergeCell ref="M18:N18"/>
    <mergeCell ref="C16:D16"/>
    <mergeCell ref="E16:F16"/>
    <mergeCell ref="G16:H16"/>
    <mergeCell ref="K16:K18"/>
    <mergeCell ref="M16:N16"/>
    <mergeCell ref="C17:D17"/>
    <mergeCell ref="C14:D14"/>
    <mergeCell ref="E14:F14"/>
    <mergeCell ref="G14:H14"/>
    <mergeCell ref="M14:N14"/>
    <mergeCell ref="M10:N10"/>
    <mergeCell ref="B11:J12"/>
    <mergeCell ref="M11:N11"/>
    <mergeCell ref="M12:N12"/>
    <mergeCell ref="C13:D13"/>
    <mergeCell ref="E13:F13"/>
    <mergeCell ref="G13:H13"/>
    <mergeCell ref="I13:J13"/>
    <mergeCell ref="M13:N13"/>
    <mergeCell ref="B2:B10"/>
    <mergeCell ref="K2:M3"/>
    <mergeCell ref="K4:K6"/>
    <mergeCell ref="M9:N9"/>
    <mergeCell ref="K10:K12"/>
    <mergeCell ref="M4:N4"/>
    <mergeCell ref="M6:N6"/>
    <mergeCell ref="M7:N7"/>
    <mergeCell ref="M8:N8"/>
    <mergeCell ref="M5:N5"/>
  </mergeCells>
  <conditionalFormatting sqref="C4:H4">
    <cfRule type="expression" dxfId="9" priority="4" stopIfTrue="1">
      <formula>DAY(C4)&gt;8</formula>
    </cfRule>
  </conditionalFormatting>
  <conditionalFormatting sqref="C8:I10">
    <cfRule type="expression" dxfId="8" priority="3" stopIfTrue="1">
      <formula>AND(DAY(C8)&gt;=1,DAY(C8)&lt;=15)</formula>
    </cfRule>
  </conditionalFormatting>
  <conditionalFormatting sqref="C4:I9">
    <cfRule type="expression" dxfId="7" priority="5">
      <formula>VLOOKUP(DAY(C4),DíasDeTareas,1,FALSE)=DAY(C4)</formula>
    </cfRule>
  </conditionalFormatting>
  <conditionalFormatting sqref="B15:H27 B31:J33 B14:I14">
    <cfRule type="expression" dxfId="6" priority="2">
      <formula>B14&lt;&gt;""</formula>
    </cfRule>
  </conditionalFormatting>
  <conditionalFormatting sqref="B28">
    <cfRule type="expression" dxfId="5" priority="1">
      <formula>B28&lt;&gt;""</formula>
    </cfRule>
  </conditionalFormatting>
  <printOptions horizontalCentered="1"/>
  <pageMargins left="0.5" right="0.5" top="0.5" bottom="0.5" header="0.3" footer="0.3"/>
  <pageSetup scale="63"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N33"/>
  <sheetViews>
    <sheetView showGridLines="0" tabSelected="1" zoomScaleNormal="100" zoomScalePageLayoutView="84" workbookViewId="0">
      <selection activeCell="M7" sqref="M7:N7"/>
    </sheetView>
  </sheetViews>
  <sheetFormatPr baseColWidth="10" defaultColWidth="8.7109375" defaultRowHeight="16.5" customHeight="1" x14ac:dyDescent="0.2"/>
  <cols>
    <col min="1" max="1" width="2.28515625" style="27" customWidth="1"/>
    <col min="2" max="2" width="12.7109375" style="27" customWidth="1"/>
    <col min="3" max="10" width="6.7109375" style="27" customWidth="1"/>
    <col min="11" max="11" width="7.28515625" style="27" customWidth="1"/>
    <col min="12" max="12" width="3.85546875" style="27" customWidth="1"/>
    <col min="13" max="13" width="51.42578125" style="27" customWidth="1"/>
    <col min="14" max="14" width="10.7109375" style="27" customWidth="1"/>
    <col min="15" max="15" width="2.28515625" style="27" customWidth="1"/>
    <col min="16" max="22" width="8.85546875" style="27" customWidth="1"/>
    <col min="23" max="16384" width="8.7109375" style="27"/>
  </cols>
  <sheetData>
    <row r="1" spans="1:14" ht="11.25" customHeight="1" x14ac:dyDescent="0.2"/>
    <row r="2" spans="1:14" ht="18" customHeight="1" x14ac:dyDescent="0.2">
      <c r="A2" s="28"/>
      <c r="B2" s="132" t="s">
        <v>10</v>
      </c>
      <c r="C2" s="29"/>
      <c r="D2" s="29"/>
      <c r="E2" s="29"/>
      <c r="F2" s="29"/>
      <c r="G2" s="29"/>
      <c r="H2" s="29"/>
      <c r="I2" s="29"/>
      <c r="J2" s="30"/>
      <c r="K2" s="135" t="s">
        <v>3</v>
      </c>
      <c r="L2" s="136">
        <v>2013</v>
      </c>
      <c r="M2" s="136"/>
      <c r="N2" s="31"/>
    </row>
    <row r="3" spans="1:14" ht="21" customHeight="1" x14ac:dyDescent="0.2">
      <c r="A3" s="28"/>
      <c r="B3" s="133"/>
      <c r="C3" s="32" t="s">
        <v>5</v>
      </c>
      <c r="D3" s="32" t="s">
        <v>1</v>
      </c>
      <c r="E3" s="32" t="s">
        <v>6</v>
      </c>
      <c r="F3" s="32" t="s">
        <v>7</v>
      </c>
      <c r="G3" s="32" t="s">
        <v>8</v>
      </c>
      <c r="H3" s="32" t="s">
        <v>0</v>
      </c>
      <c r="I3" s="32" t="s">
        <v>9</v>
      </c>
      <c r="J3" s="33"/>
      <c r="K3" s="137"/>
      <c r="L3" s="138"/>
      <c r="M3" s="138"/>
      <c r="N3" s="34"/>
    </row>
    <row r="4" spans="1:14" ht="18" customHeight="1" x14ac:dyDescent="0.2">
      <c r="A4" s="28"/>
      <c r="B4" s="133"/>
      <c r="C4" s="35">
        <f>IF(DAY(DicDom1)=1,DicDom1-6,DicDom1+1)</f>
        <v>43430</v>
      </c>
      <c r="D4" s="35">
        <f>IF(DAY(DicDom1)=1,DicDom1-5,DicDom1+2)</f>
        <v>43431</v>
      </c>
      <c r="E4" s="35">
        <f>IF(DAY(DicDom1)=1,DicDom1-4,DicDom1+3)</f>
        <v>43432</v>
      </c>
      <c r="F4" s="35">
        <f>IF(DAY(DicDom1)=1,DicDom1-3,DicDom1+4)</f>
        <v>43433</v>
      </c>
      <c r="G4" s="35">
        <f>IF(DAY(DicDom1)=1,DicDom1-2,DicDom1+5)</f>
        <v>43434</v>
      </c>
      <c r="H4" s="35">
        <f>IF(DAY(DicDom1)=1,DicDom1-1,DicDom1+6)</f>
        <v>43435</v>
      </c>
      <c r="I4" s="35">
        <f>IF(DAY(DicDom1)=1,DicDom1,DicDom1+7)</f>
        <v>43436</v>
      </c>
      <c r="J4" s="33"/>
      <c r="K4" s="139"/>
      <c r="L4" s="50">
        <v>3</v>
      </c>
      <c r="M4" s="140" t="s">
        <v>59</v>
      </c>
      <c r="N4" s="141"/>
    </row>
    <row r="5" spans="1:14" ht="19.5" customHeight="1" x14ac:dyDescent="0.2">
      <c r="A5" s="28"/>
      <c r="B5" s="133"/>
      <c r="C5" s="35">
        <f>IF(DAY(DicDom1)=1,DicDom1+1,DicDom1+8)</f>
        <v>43437</v>
      </c>
      <c r="D5" s="35">
        <f>IF(DAY(DicDom1)=1,DicDom1+2,DicDom1+9)</f>
        <v>43438</v>
      </c>
      <c r="E5" s="35">
        <f>IF(DAY(DicDom1)=1,DicDom1+3,DicDom1+10)</f>
        <v>43439</v>
      </c>
      <c r="F5" s="35">
        <f>IF(DAY(DicDom1)=1,DicDom1+4,DicDom1+11)</f>
        <v>43440</v>
      </c>
      <c r="G5" s="35">
        <f>IF(DAY(DicDom1)=1,DicDom1+5,DicDom1+12)</f>
        <v>43441</v>
      </c>
      <c r="H5" s="35">
        <f>IF(DAY(DicDom1)=1,DicDom1+6,DicDom1+13)</f>
        <v>43442</v>
      </c>
      <c r="I5" s="35">
        <f>IF(DAY(DicDom1)=1,DicDom1+7,DicDom1+14)</f>
        <v>43443</v>
      </c>
      <c r="J5" s="33"/>
      <c r="K5" s="113"/>
      <c r="L5" s="51">
        <v>10</v>
      </c>
      <c r="M5" s="114" t="s">
        <v>60</v>
      </c>
      <c r="N5" s="115"/>
    </row>
    <row r="6" spans="1:14" ht="31.5" customHeight="1" x14ac:dyDescent="0.2">
      <c r="A6" s="28"/>
      <c r="B6" s="133"/>
      <c r="C6" s="35">
        <f>IF(DAY(DicDom1)=1,DicDom1+8,DicDom1+15)</f>
        <v>43444</v>
      </c>
      <c r="D6" s="35">
        <f>IF(DAY(DicDom1)=1,DicDom1+9,DicDom1+16)</f>
        <v>43445</v>
      </c>
      <c r="E6" s="35">
        <f>IF(DAY(DicDom1)=1,DicDom1+10,DicDom1+17)</f>
        <v>43446</v>
      </c>
      <c r="F6" s="35">
        <f>IF(DAY(DicDom1)=1,DicDom1+11,DicDom1+18)</f>
        <v>43447</v>
      </c>
      <c r="G6" s="35">
        <f>IF(DAY(DicDom1)=1,DicDom1+12,DicDom1+19)</f>
        <v>43448</v>
      </c>
      <c r="H6" s="35">
        <f>IF(DAY(DicDom1)=1,DicDom1+13,DicDom1+20)</f>
        <v>43449</v>
      </c>
      <c r="I6" s="35">
        <f>IF(DAY(DicDom1)=1,DicDom1+14,DicDom1+21)</f>
        <v>43450</v>
      </c>
      <c r="J6" s="33"/>
      <c r="K6" s="113"/>
      <c r="L6" s="51">
        <v>17</v>
      </c>
      <c r="M6" s="57" t="s">
        <v>72</v>
      </c>
      <c r="N6" s="55"/>
    </row>
    <row r="7" spans="1:14" ht="18" customHeight="1" x14ac:dyDescent="0.2">
      <c r="A7" s="28"/>
      <c r="B7" s="133"/>
      <c r="C7" s="35">
        <f>IF(DAY(DicDom1)=1,DicDom1+15,DicDom1+22)</f>
        <v>43451</v>
      </c>
      <c r="D7" s="35">
        <f>IF(DAY(DicDom1)=1,DicDom1+16,DicDom1+23)</f>
        <v>43452</v>
      </c>
      <c r="E7" s="35">
        <f>IF(DAY(DicDom1)=1,DicDom1+17,DicDom1+24)</f>
        <v>43453</v>
      </c>
      <c r="F7" s="35">
        <f>IF(DAY(DicDom1)=1,DicDom1+18,DicDom1+25)</f>
        <v>43454</v>
      </c>
      <c r="G7" s="35">
        <f>IF(DAY(DicDom1)=1,DicDom1+19,DicDom1+26)</f>
        <v>43455</v>
      </c>
      <c r="H7" s="35">
        <f>IF(DAY(DicDom1)=1,DicDom1+20,DicDom1+27)</f>
        <v>43456</v>
      </c>
      <c r="I7" s="35">
        <f>IF(DAY(DicDom1)=1,DicDom1+21,DicDom1+28)</f>
        <v>43457</v>
      </c>
      <c r="J7" s="33"/>
      <c r="K7" s="37"/>
      <c r="L7" s="51">
        <v>24</v>
      </c>
      <c r="M7" s="114" t="s">
        <v>64</v>
      </c>
      <c r="N7" s="115"/>
    </row>
    <row r="8" spans="1:14" ht="18.75" customHeight="1" x14ac:dyDescent="0.2">
      <c r="A8" s="28"/>
      <c r="B8" s="133"/>
      <c r="C8" s="35">
        <f>IF(DAY(DicDom1)=1,DicDom1+22,DicDom1+29)</f>
        <v>43458</v>
      </c>
      <c r="D8" s="35">
        <f>IF(DAY(DicDom1)=1,DicDom1+23,DicDom1+30)</f>
        <v>43459</v>
      </c>
      <c r="E8" s="35">
        <f>IF(DAY(DicDom1)=1,DicDom1+24,DicDom1+31)</f>
        <v>43460</v>
      </c>
      <c r="F8" s="35">
        <f>IF(DAY(DicDom1)=1,DicDom1+25,DicDom1+32)</f>
        <v>43461</v>
      </c>
      <c r="G8" s="35">
        <f>IF(DAY(DicDom1)=1,DicDom1+26,DicDom1+33)</f>
        <v>43462</v>
      </c>
      <c r="H8" s="35">
        <f>IF(DAY(DicDom1)=1,DicDom1+27,DicDom1+34)</f>
        <v>43463</v>
      </c>
      <c r="I8" s="35">
        <f>IF(DAY(DicDom1)=1,DicDom1+28,DicDom1+35)</f>
        <v>43464</v>
      </c>
      <c r="J8" s="33"/>
      <c r="K8" s="37"/>
      <c r="L8" s="51">
        <v>31</v>
      </c>
      <c r="M8" s="114" t="s">
        <v>51</v>
      </c>
      <c r="N8" s="115"/>
    </row>
    <row r="9" spans="1:14" ht="18" customHeight="1" x14ac:dyDescent="0.2">
      <c r="A9" s="28"/>
      <c r="B9" s="133"/>
      <c r="C9" s="35">
        <f>IF(DAY(DicDom1)=1,DicDom1+29,DicDom1+36)</f>
        <v>43465</v>
      </c>
      <c r="D9" s="35">
        <f>IF(DAY(DicDom1)=1,DicDom1+30,DicDom1+37)</f>
        <v>43466</v>
      </c>
      <c r="E9" s="35">
        <f>IF(DAY(DicDom1)=1,DicDom1+31,DicDom1+38)</f>
        <v>43467</v>
      </c>
      <c r="F9" s="35">
        <f>IF(DAY(DicDom1)=1,DicDom1+32,DicDom1+39)</f>
        <v>43468</v>
      </c>
      <c r="G9" s="35">
        <f>IF(DAY(DicDom1)=1,DicDom1+33,DicDom1+40)</f>
        <v>43469</v>
      </c>
      <c r="H9" s="35">
        <f>IF(DAY(DicDom1)=1,DicDom1+34,DicDom1+41)</f>
        <v>43470</v>
      </c>
      <c r="I9" s="35">
        <f>IF(DAY(DicDom1)=1,DicDom1+35,DicDom1+42)</f>
        <v>43471</v>
      </c>
      <c r="J9" s="33"/>
      <c r="K9" s="38"/>
      <c r="L9" s="52"/>
      <c r="M9" s="118"/>
      <c r="N9" s="119"/>
    </row>
    <row r="10" spans="1:14" ht="18" customHeight="1" x14ac:dyDescent="0.2">
      <c r="A10" s="28"/>
      <c r="B10" s="134"/>
      <c r="C10" s="39"/>
      <c r="D10" s="39"/>
      <c r="E10" s="39"/>
      <c r="F10" s="39"/>
      <c r="G10" s="39"/>
      <c r="H10" s="39"/>
      <c r="I10" s="39"/>
      <c r="J10" s="40"/>
      <c r="K10" s="112"/>
      <c r="L10" s="50"/>
      <c r="M10" s="124"/>
      <c r="N10" s="125"/>
    </row>
    <row r="11" spans="1:14" ht="36.75" customHeight="1" x14ac:dyDescent="0.2">
      <c r="A11" s="28"/>
      <c r="B11" s="126" t="s">
        <v>11</v>
      </c>
      <c r="C11" s="127"/>
      <c r="D11" s="127"/>
      <c r="E11" s="127"/>
      <c r="F11" s="127"/>
      <c r="G11" s="127"/>
      <c r="H11" s="127"/>
      <c r="I11" s="127"/>
      <c r="J11" s="128"/>
      <c r="K11" s="113"/>
      <c r="L11" s="51">
        <v>4</v>
      </c>
      <c r="M11" s="122" t="s">
        <v>61</v>
      </c>
      <c r="N11" s="123"/>
    </row>
    <row r="12" spans="1:14" ht="36" customHeight="1" x14ac:dyDescent="0.2">
      <c r="A12" s="28"/>
      <c r="B12" s="126"/>
      <c r="C12" s="127"/>
      <c r="D12" s="127"/>
      <c r="E12" s="127"/>
      <c r="F12" s="127"/>
      <c r="G12" s="127"/>
      <c r="H12" s="127"/>
      <c r="I12" s="127"/>
      <c r="J12" s="128"/>
      <c r="K12" s="113"/>
      <c r="L12" s="51">
        <v>11</v>
      </c>
      <c r="M12" s="122" t="s">
        <v>71</v>
      </c>
      <c r="N12" s="123"/>
    </row>
    <row r="13" spans="1:14" ht="18" customHeight="1" x14ac:dyDescent="0.2">
      <c r="B13" s="41" t="s">
        <v>12</v>
      </c>
      <c r="C13" s="129" t="s">
        <v>13</v>
      </c>
      <c r="D13" s="130"/>
      <c r="E13" s="129" t="s">
        <v>14</v>
      </c>
      <c r="F13" s="130"/>
      <c r="G13" s="129" t="s">
        <v>15</v>
      </c>
      <c r="H13" s="130"/>
      <c r="I13" s="129" t="s">
        <v>16</v>
      </c>
      <c r="J13" s="131"/>
      <c r="K13" s="37"/>
      <c r="L13" s="51">
        <v>18</v>
      </c>
      <c r="M13" s="114" t="s">
        <v>45</v>
      </c>
      <c r="N13" s="115"/>
    </row>
    <row r="14" spans="1:14" ht="18" customHeight="1" x14ac:dyDescent="0.2">
      <c r="B14" s="42"/>
      <c r="C14" s="120"/>
      <c r="D14" s="121"/>
      <c r="E14" s="120"/>
      <c r="F14" s="121"/>
      <c r="G14" s="120"/>
      <c r="H14" s="121"/>
      <c r="I14" s="144"/>
      <c r="J14" s="145"/>
      <c r="K14" s="37"/>
      <c r="L14" s="51">
        <v>25</v>
      </c>
      <c r="M14" s="114" t="s">
        <v>52</v>
      </c>
      <c r="N14" s="115"/>
    </row>
    <row r="15" spans="1:14" ht="18" customHeight="1" x14ac:dyDescent="0.2">
      <c r="B15" s="43"/>
      <c r="C15" s="142"/>
      <c r="D15" s="143"/>
      <c r="E15" s="142"/>
      <c r="F15" s="143"/>
      <c r="G15" s="142"/>
      <c r="H15" s="143"/>
      <c r="I15" s="144"/>
      <c r="J15" s="145"/>
      <c r="K15" s="44"/>
      <c r="L15" s="53"/>
      <c r="M15" s="118"/>
      <c r="N15" s="119"/>
    </row>
    <row r="16" spans="1:14" ht="18" customHeight="1" x14ac:dyDescent="0.2">
      <c r="B16" s="42"/>
      <c r="C16" s="120"/>
      <c r="D16" s="121"/>
      <c r="E16" s="120"/>
      <c r="F16" s="121"/>
      <c r="G16" s="120"/>
      <c r="H16" s="121"/>
      <c r="I16" s="144"/>
      <c r="J16" s="145"/>
      <c r="K16" s="150"/>
      <c r="L16" s="50"/>
      <c r="M16" s="124"/>
      <c r="N16" s="125"/>
    </row>
    <row r="17" spans="2:14" ht="18" customHeight="1" x14ac:dyDescent="0.2">
      <c r="B17" s="43"/>
      <c r="C17" s="142"/>
      <c r="D17" s="143"/>
      <c r="E17" s="142"/>
      <c r="F17" s="143"/>
      <c r="G17" s="142"/>
      <c r="H17" s="143"/>
      <c r="I17" s="144"/>
      <c r="J17" s="145"/>
      <c r="K17" s="151"/>
      <c r="L17" s="51">
        <v>5</v>
      </c>
      <c r="M17" s="114" t="s">
        <v>53</v>
      </c>
      <c r="N17" s="115"/>
    </row>
    <row r="18" spans="2:14" ht="32.25" customHeight="1" x14ac:dyDescent="0.2">
      <c r="B18" s="45"/>
      <c r="C18" s="148"/>
      <c r="D18" s="149"/>
      <c r="E18" s="148"/>
      <c r="F18" s="149"/>
      <c r="G18" s="148"/>
      <c r="H18" s="149"/>
      <c r="I18" s="144"/>
      <c r="J18" s="145"/>
      <c r="K18" s="151"/>
      <c r="L18" s="51">
        <v>12</v>
      </c>
      <c r="M18" s="122" t="s">
        <v>54</v>
      </c>
      <c r="N18" s="123"/>
    </row>
    <row r="19" spans="2:14" ht="31.5" customHeight="1" x14ac:dyDescent="0.2">
      <c r="B19" s="43"/>
      <c r="C19" s="142"/>
      <c r="D19" s="143"/>
      <c r="E19" s="142"/>
      <c r="F19" s="143"/>
      <c r="G19" s="142"/>
      <c r="H19" s="143"/>
      <c r="I19" s="144"/>
      <c r="J19" s="145"/>
      <c r="K19" s="37"/>
      <c r="L19" s="51">
        <v>19</v>
      </c>
      <c r="M19" s="122" t="s">
        <v>62</v>
      </c>
      <c r="N19" s="123"/>
    </row>
    <row r="20" spans="2:14" ht="18" customHeight="1" x14ac:dyDescent="0.2">
      <c r="B20" s="42"/>
      <c r="C20" s="120"/>
      <c r="D20" s="121"/>
      <c r="E20" s="120"/>
      <c r="F20" s="121"/>
      <c r="G20" s="120"/>
      <c r="H20" s="121"/>
      <c r="I20" s="144"/>
      <c r="J20" s="145"/>
      <c r="K20" s="37"/>
      <c r="L20" s="51">
        <v>26</v>
      </c>
      <c r="M20" s="114" t="s">
        <v>63</v>
      </c>
      <c r="N20" s="115"/>
    </row>
    <row r="21" spans="2:14" ht="18" customHeight="1" x14ac:dyDescent="0.2">
      <c r="B21" s="43"/>
      <c r="C21" s="142"/>
      <c r="D21" s="143"/>
      <c r="E21" s="142"/>
      <c r="F21" s="143"/>
      <c r="G21" s="142"/>
      <c r="H21" s="143"/>
      <c r="I21" s="144"/>
      <c r="J21" s="145"/>
      <c r="K21" s="44"/>
      <c r="L21" s="53"/>
      <c r="M21" s="118"/>
      <c r="N21" s="119"/>
    </row>
    <row r="22" spans="2:14" ht="18" customHeight="1" x14ac:dyDescent="0.2">
      <c r="B22" s="42"/>
      <c r="C22" s="120"/>
      <c r="D22" s="121"/>
      <c r="E22" s="120"/>
      <c r="F22" s="121"/>
      <c r="G22" s="120"/>
      <c r="H22" s="121"/>
      <c r="I22" s="144"/>
      <c r="J22" s="145"/>
      <c r="K22" s="150"/>
      <c r="L22" s="50"/>
      <c r="M22" s="124"/>
      <c r="N22" s="125"/>
    </row>
    <row r="23" spans="2:14" ht="18" customHeight="1" x14ac:dyDescent="0.2">
      <c r="B23" s="43"/>
      <c r="C23" s="142"/>
      <c r="D23" s="143"/>
      <c r="E23" s="142"/>
      <c r="F23" s="143"/>
      <c r="G23" s="142"/>
      <c r="H23" s="143"/>
      <c r="I23" s="144"/>
      <c r="J23" s="145"/>
      <c r="K23" s="151"/>
      <c r="L23" s="51"/>
      <c r="M23" s="114"/>
      <c r="N23" s="115"/>
    </row>
    <row r="24" spans="2:14" ht="18" customHeight="1" x14ac:dyDescent="0.2">
      <c r="B24" s="42"/>
      <c r="C24" s="120"/>
      <c r="D24" s="121"/>
      <c r="E24" s="120"/>
      <c r="F24" s="121"/>
      <c r="G24" s="120"/>
      <c r="H24" s="121"/>
      <c r="I24" s="144"/>
      <c r="J24" s="145"/>
      <c r="K24" s="151"/>
      <c r="L24" s="51">
        <v>6</v>
      </c>
      <c r="M24" s="114" t="s">
        <v>31</v>
      </c>
      <c r="N24" s="115"/>
    </row>
    <row r="25" spans="2:14" ht="18" customHeight="1" x14ac:dyDescent="0.2">
      <c r="B25" s="43"/>
      <c r="C25" s="142"/>
      <c r="D25" s="143"/>
      <c r="E25" s="142"/>
      <c r="F25" s="143"/>
      <c r="G25" s="142"/>
      <c r="H25" s="143"/>
      <c r="I25" s="144"/>
      <c r="J25" s="145"/>
      <c r="K25" s="151"/>
      <c r="L25" s="51">
        <v>13</v>
      </c>
      <c r="M25" s="56" t="s">
        <v>65</v>
      </c>
    </row>
    <row r="26" spans="2:14" ht="26.25" customHeight="1" x14ac:dyDescent="0.2">
      <c r="B26" s="42"/>
      <c r="C26" s="120"/>
      <c r="D26" s="121"/>
      <c r="E26" s="120"/>
      <c r="F26" s="121"/>
      <c r="G26" s="120"/>
      <c r="H26" s="121"/>
      <c r="I26" s="144"/>
      <c r="J26" s="145"/>
      <c r="K26" s="37"/>
      <c r="L26" s="51">
        <v>20</v>
      </c>
      <c r="M26" s="172" t="s">
        <v>69</v>
      </c>
      <c r="N26" s="173"/>
    </row>
    <row r="27" spans="2:14" ht="30" customHeight="1" x14ac:dyDescent="0.2">
      <c r="B27" s="43"/>
      <c r="C27" s="142"/>
      <c r="D27" s="143"/>
      <c r="E27" s="142"/>
      <c r="F27" s="143"/>
      <c r="G27" s="142"/>
      <c r="H27" s="143"/>
      <c r="I27" s="144"/>
      <c r="J27" s="145"/>
      <c r="K27" s="44"/>
      <c r="L27" s="53">
        <v>27</v>
      </c>
      <c r="M27" s="174" t="s">
        <v>66</v>
      </c>
      <c r="N27" s="175"/>
    </row>
    <row r="28" spans="2:14" ht="18" customHeight="1" x14ac:dyDescent="0.2">
      <c r="B28" s="42"/>
      <c r="C28" s="120"/>
      <c r="D28" s="121"/>
      <c r="E28" s="120"/>
      <c r="F28" s="121"/>
      <c r="G28" s="120"/>
      <c r="H28" s="121"/>
      <c r="I28" s="144"/>
      <c r="J28" s="145"/>
      <c r="K28" s="112"/>
      <c r="L28" s="50"/>
      <c r="M28" s="124"/>
      <c r="N28" s="125"/>
    </row>
    <row r="29" spans="2:14" ht="18" customHeight="1" x14ac:dyDescent="0.2">
      <c r="B29" s="43"/>
      <c r="C29" s="142"/>
      <c r="D29" s="143"/>
      <c r="E29" s="142"/>
      <c r="F29" s="143"/>
      <c r="G29" s="142"/>
      <c r="H29" s="143"/>
      <c r="I29" s="144"/>
      <c r="J29" s="145"/>
      <c r="K29" s="113"/>
      <c r="L29" s="51"/>
      <c r="M29" s="114"/>
      <c r="N29" s="115"/>
    </row>
    <row r="30" spans="2:14" ht="18" customHeight="1" x14ac:dyDescent="0.2">
      <c r="B30" s="42"/>
      <c r="C30" s="120"/>
      <c r="D30" s="121"/>
      <c r="E30" s="120"/>
      <c r="F30" s="121"/>
      <c r="G30" s="120"/>
      <c r="H30" s="121"/>
      <c r="I30" s="146"/>
      <c r="J30" s="147"/>
      <c r="K30" s="113"/>
      <c r="L30" s="51">
        <v>7</v>
      </c>
      <c r="M30" s="114" t="s">
        <v>67</v>
      </c>
      <c r="N30" s="115"/>
    </row>
    <row r="31" spans="2:14" ht="18" customHeight="1" x14ac:dyDescent="0.2">
      <c r="B31" s="160" t="s">
        <v>55</v>
      </c>
      <c r="C31" s="161"/>
      <c r="D31" s="161"/>
      <c r="E31" s="161"/>
      <c r="F31" s="161"/>
      <c r="G31" s="161"/>
      <c r="H31" s="161"/>
      <c r="I31" s="161"/>
      <c r="J31" s="162"/>
      <c r="K31" s="46"/>
      <c r="L31" s="51">
        <v>14</v>
      </c>
      <c r="M31" s="114" t="s">
        <v>70</v>
      </c>
      <c r="N31" s="115"/>
    </row>
    <row r="32" spans="2:14" ht="18" customHeight="1" x14ac:dyDescent="0.2">
      <c r="B32" s="163"/>
      <c r="C32" s="164"/>
      <c r="D32" s="164"/>
      <c r="E32" s="164"/>
      <c r="F32" s="164"/>
      <c r="G32" s="164"/>
      <c r="H32" s="164"/>
      <c r="I32" s="164"/>
      <c r="J32" s="145"/>
      <c r="K32" s="46"/>
      <c r="L32" s="51">
        <v>21</v>
      </c>
      <c r="M32" s="114" t="s">
        <v>67</v>
      </c>
      <c r="N32" s="115"/>
    </row>
    <row r="33" spans="2:14" ht="18" customHeight="1" x14ac:dyDescent="0.2">
      <c r="B33" s="163"/>
      <c r="C33" s="164"/>
      <c r="D33" s="164"/>
      <c r="E33" s="164"/>
      <c r="F33" s="164"/>
      <c r="G33" s="164"/>
      <c r="H33" s="164"/>
      <c r="I33" s="164"/>
      <c r="J33" s="145"/>
      <c r="K33" s="48"/>
      <c r="L33" s="54">
        <v>28</v>
      </c>
      <c r="M33" s="167" t="s">
        <v>68</v>
      </c>
      <c r="N33" s="168"/>
    </row>
  </sheetData>
  <mergeCells count="93">
    <mergeCell ref="M33:N33"/>
    <mergeCell ref="M31:N31"/>
    <mergeCell ref="M32:N32"/>
    <mergeCell ref="B31:J33"/>
    <mergeCell ref="M29:N29"/>
    <mergeCell ref="C30:D30"/>
    <mergeCell ref="E30:F30"/>
    <mergeCell ref="G30:H30"/>
    <mergeCell ref="M30:N30"/>
    <mergeCell ref="C27:D27"/>
    <mergeCell ref="E27:F27"/>
    <mergeCell ref="G27:H27"/>
    <mergeCell ref="M27:N27"/>
    <mergeCell ref="C28:D28"/>
    <mergeCell ref="E28:F28"/>
    <mergeCell ref="G28:H28"/>
    <mergeCell ref="K28:K30"/>
    <mergeCell ref="M28:N28"/>
    <mergeCell ref="C29:D29"/>
    <mergeCell ref="E29:F29"/>
    <mergeCell ref="G29:H29"/>
    <mergeCell ref="M24:N24"/>
    <mergeCell ref="M22:N22"/>
    <mergeCell ref="C26:D26"/>
    <mergeCell ref="E26:F26"/>
    <mergeCell ref="G26:H26"/>
    <mergeCell ref="M26:N26"/>
    <mergeCell ref="K22:K25"/>
    <mergeCell ref="C24:D24"/>
    <mergeCell ref="E24:F24"/>
    <mergeCell ref="G24:H24"/>
    <mergeCell ref="C25:D25"/>
    <mergeCell ref="E25:F25"/>
    <mergeCell ref="G25:H25"/>
    <mergeCell ref="C23:D23"/>
    <mergeCell ref="E23:F23"/>
    <mergeCell ref="G23:H23"/>
    <mergeCell ref="M23:N23"/>
    <mergeCell ref="M19:N19"/>
    <mergeCell ref="C20:D20"/>
    <mergeCell ref="E20:F20"/>
    <mergeCell ref="G20:H20"/>
    <mergeCell ref="M20:N20"/>
    <mergeCell ref="C21:D21"/>
    <mergeCell ref="E21:F21"/>
    <mergeCell ref="G21:H21"/>
    <mergeCell ref="M21:N21"/>
    <mergeCell ref="C22:D22"/>
    <mergeCell ref="E22:F22"/>
    <mergeCell ref="G22:H22"/>
    <mergeCell ref="E17:F17"/>
    <mergeCell ref="G17:H17"/>
    <mergeCell ref="C19:D19"/>
    <mergeCell ref="E19:F19"/>
    <mergeCell ref="G19:H19"/>
    <mergeCell ref="C15:D15"/>
    <mergeCell ref="E15:F15"/>
    <mergeCell ref="G15:H15"/>
    <mergeCell ref="M15:N15"/>
    <mergeCell ref="I14:J30"/>
    <mergeCell ref="M17:N17"/>
    <mergeCell ref="C18:D18"/>
    <mergeCell ref="E18:F18"/>
    <mergeCell ref="G18:H18"/>
    <mergeCell ref="M18:N18"/>
    <mergeCell ref="C16:D16"/>
    <mergeCell ref="E16:F16"/>
    <mergeCell ref="G16:H16"/>
    <mergeCell ref="K16:K18"/>
    <mergeCell ref="M16:N16"/>
    <mergeCell ref="C17:D17"/>
    <mergeCell ref="C14:D14"/>
    <mergeCell ref="E14:F14"/>
    <mergeCell ref="G14:H14"/>
    <mergeCell ref="M14:N14"/>
    <mergeCell ref="M10:N10"/>
    <mergeCell ref="B11:J12"/>
    <mergeCell ref="M11:N11"/>
    <mergeCell ref="M12:N12"/>
    <mergeCell ref="C13:D13"/>
    <mergeCell ref="E13:F13"/>
    <mergeCell ref="G13:H13"/>
    <mergeCell ref="I13:J13"/>
    <mergeCell ref="M13:N13"/>
    <mergeCell ref="B2:B10"/>
    <mergeCell ref="K2:M3"/>
    <mergeCell ref="K4:K6"/>
    <mergeCell ref="M9:N9"/>
    <mergeCell ref="K10:K12"/>
    <mergeCell ref="M4:N4"/>
    <mergeCell ref="M5:N5"/>
    <mergeCell ref="M7:N7"/>
    <mergeCell ref="M8:N8"/>
  </mergeCells>
  <conditionalFormatting sqref="C4:H4">
    <cfRule type="expression" dxfId="4" priority="4" stopIfTrue="1">
      <formula>DAY(C4)&gt;8</formula>
    </cfRule>
  </conditionalFormatting>
  <conditionalFormatting sqref="C8:I10">
    <cfRule type="expression" dxfId="3" priority="3" stopIfTrue="1">
      <formula>AND(DAY(C8)&gt;=1,DAY(C8)&lt;=15)</formula>
    </cfRule>
  </conditionalFormatting>
  <conditionalFormatting sqref="C4:I9">
    <cfRule type="expression" dxfId="2" priority="5">
      <formula>VLOOKUP(DAY(C4),DíasDeTareas,1,FALSE)=DAY(C4)</formula>
    </cfRule>
  </conditionalFormatting>
  <conditionalFormatting sqref="B15:H30 B14:I14">
    <cfRule type="expression" dxfId="1" priority="2">
      <formula>B14&lt;&gt;""</formula>
    </cfRule>
  </conditionalFormatting>
  <conditionalFormatting sqref="B31">
    <cfRule type="expression" dxfId="0" priority="1">
      <formula>B31&lt;&gt;""</formula>
    </cfRule>
  </conditionalFormatting>
  <printOptions horizontalCentered="1"/>
  <pageMargins left="0.5" right="0.5" top="0.5" bottom="0.5" header="0.3" footer="0.3"/>
  <pageSetup scale="63"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AO33"/>
  <sheetViews>
    <sheetView showGridLines="0" topLeftCell="A8" zoomScaleNormal="100" zoomScalePageLayoutView="84" workbookViewId="0">
      <selection activeCell="B14" sqref="B14:J32"/>
    </sheetView>
  </sheetViews>
  <sheetFormatPr baseColWidth="10" defaultColWidth="8.7109375" defaultRowHeight="16.5" customHeight="1" x14ac:dyDescent="0.2"/>
  <cols>
    <col min="1" max="1" width="2.28515625" style="1" customWidth="1"/>
    <col min="2" max="2" width="12.7109375" style="1" customWidth="1"/>
    <col min="3" max="10" width="6.7109375" style="1" customWidth="1"/>
    <col min="11" max="11" width="7.28515625" style="1" customWidth="1"/>
    <col min="12" max="12" width="3.85546875" customWidth="1"/>
    <col min="13" max="13" width="51.42578125" style="1" customWidth="1"/>
    <col min="14" max="14" width="10.7109375" style="1" customWidth="1"/>
    <col min="15" max="15" width="2.28515625" customWidth="1"/>
    <col min="16" max="22" width="8.85546875" customWidth="1"/>
    <col min="42" max="16384" width="8.7109375" style="1"/>
  </cols>
  <sheetData>
    <row r="1" spans="1:14" ht="11.25" customHeight="1" x14ac:dyDescent="0.2"/>
    <row r="2" spans="1:14" ht="18" customHeight="1" x14ac:dyDescent="0.2">
      <c r="A2" s="4"/>
      <c r="B2" s="100" t="s">
        <v>26</v>
      </c>
      <c r="C2" s="21"/>
      <c r="D2" s="21"/>
      <c r="E2" s="21"/>
      <c r="F2" s="21"/>
      <c r="G2" s="21"/>
      <c r="H2" s="21"/>
      <c r="I2" s="21"/>
      <c r="J2" s="22"/>
      <c r="K2" s="74" t="s">
        <v>3</v>
      </c>
      <c r="L2" s="75">
        <v>2013</v>
      </c>
      <c r="M2" s="75"/>
      <c r="N2" s="25"/>
    </row>
    <row r="3" spans="1:14" ht="21" customHeight="1" x14ac:dyDescent="0.2">
      <c r="A3" s="4"/>
      <c r="B3" s="101"/>
      <c r="C3" s="2" t="s">
        <v>5</v>
      </c>
      <c r="D3" s="2" t="s">
        <v>1</v>
      </c>
      <c r="E3" s="2" t="s">
        <v>6</v>
      </c>
      <c r="F3" s="2" t="s">
        <v>7</v>
      </c>
      <c r="G3" s="2" t="s">
        <v>8</v>
      </c>
      <c r="H3" s="2" t="s">
        <v>0</v>
      </c>
      <c r="I3" s="2" t="s">
        <v>9</v>
      </c>
      <c r="J3" s="5"/>
      <c r="K3" s="76"/>
      <c r="L3" s="77"/>
      <c r="M3" s="77"/>
      <c r="N3" s="26"/>
    </row>
    <row r="4" spans="1:14" ht="18" customHeight="1" x14ac:dyDescent="0.2">
      <c r="A4" s="4"/>
      <c r="B4" s="101"/>
      <c r="C4" s="10">
        <f>IF(DAY(FebDom1)=1,FebDom1-6,FebDom1+1)</f>
        <v>43129</v>
      </c>
      <c r="D4" s="10">
        <f>IF(DAY(FebDom1)=1,FebDom1-5,FebDom1+2)</f>
        <v>43130</v>
      </c>
      <c r="E4" s="10">
        <f>IF(DAY(FebDom1)=1,FebDom1-4,FebDom1+3)</f>
        <v>43131</v>
      </c>
      <c r="F4" s="10">
        <f>IF(DAY(FebDom1)=1,FebDom1-3,FebDom1+4)</f>
        <v>43132</v>
      </c>
      <c r="G4" s="10">
        <f>IF(DAY(FebDom1)=1,FebDom1-2,FebDom1+5)</f>
        <v>43133</v>
      </c>
      <c r="H4" s="10">
        <f>IF(DAY(FebDom1)=1,FebDom1-1,FebDom1+6)</f>
        <v>43134</v>
      </c>
      <c r="I4" s="10">
        <f>IF(DAY(FebDom1)=1,FebDom1,FebDom1+7)</f>
        <v>43135</v>
      </c>
      <c r="J4" s="5"/>
      <c r="K4" s="78" t="s">
        <v>12</v>
      </c>
      <c r="L4" s="16"/>
      <c r="M4" s="79"/>
      <c r="N4" s="80"/>
    </row>
    <row r="5" spans="1:14" ht="18" customHeight="1" x14ac:dyDescent="0.2">
      <c r="A5" s="4"/>
      <c r="B5" s="101"/>
      <c r="C5" s="10">
        <f>IF(DAY(FebDom1)=1,FebDom1+1,FebDom1+8)</f>
        <v>43136</v>
      </c>
      <c r="D5" s="10">
        <f>IF(DAY(FebDom1)=1,FebDom1+2,FebDom1+9)</f>
        <v>43137</v>
      </c>
      <c r="E5" s="10">
        <f>IF(DAY(FebDom1)=1,FebDom1+3,FebDom1+10)</f>
        <v>43138</v>
      </c>
      <c r="F5" s="10">
        <f>IF(DAY(FebDom1)=1,FebDom1+4,FebDom1+11)</f>
        <v>43139</v>
      </c>
      <c r="G5" s="10">
        <f>IF(DAY(FebDom1)=1,FebDom1+5,FebDom1+12)</f>
        <v>43140</v>
      </c>
      <c r="H5" s="10">
        <f>IF(DAY(FebDom1)=1,FebDom1+6,FebDom1+13)</f>
        <v>43141</v>
      </c>
      <c r="I5" s="10">
        <f>IF(DAY(FebDom1)=1,FebDom1+7,FebDom1+14)</f>
        <v>43142</v>
      </c>
      <c r="J5" s="5"/>
      <c r="K5" s="70"/>
      <c r="L5" s="17"/>
      <c r="M5" s="63"/>
      <c r="N5" s="64"/>
    </row>
    <row r="6" spans="1:14" ht="18" customHeight="1" x14ac:dyDescent="0.2">
      <c r="A6" s="4"/>
      <c r="B6" s="101"/>
      <c r="C6" s="10">
        <f>IF(DAY(FebDom1)=1,FebDom1+8,FebDom1+15)</f>
        <v>43143</v>
      </c>
      <c r="D6" s="10">
        <f>IF(DAY(FebDom1)=1,FebDom1+9,FebDom1+16)</f>
        <v>43144</v>
      </c>
      <c r="E6" s="10">
        <f>IF(DAY(FebDom1)=1,FebDom1+10,FebDom1+17)</f>
        <v>43145</v>
      </c>
      <c r="F6" s="10">
        <f>IF(DAY(FebDom1)=1,FebDom1+11,FebDom1+18)</f>
        <v>43146</v>
      </c>
      <c r="G6" s="10">
        <f>IF(DAY(FebDom1)=1,FebDom1+12,FebDom1+19)</f>
        <v>43147</v>
      </c>
      <c r="H6" s="10">
        <f>IF(DAY(FebDom1)=1,FebDom1+13,FebDom1+20)</f>
        <v>43148</v>
      </c>
      <c r="I6" s="10">
        <f>IF(DAY(FebDom1)=1,FebDom1+14,FebDom1+21)</f>
        <v>43149</v>
      </c>
      <c r="J6" s="5"/>
      <c r="K6" s="70"/>
      <c r="L6" s="17"/>
      <c r="M6" s="63"/>
      <c r="N6" s="64"/>
    </row>
    <row r="7" spans="1:14" ht="18" customHeight="1" x14ac:dyDescent="0.2">
      <c r="A7" s="4"/>
      <c r="B7" s="101"/>
      <c r="C7" s="10">
        <f>IF(DAY(FebDom1)=1,FebDom1+15,FebDom1+22)</f>
        <v>43150</v>
      </c>
      <c r="D7" s="10">
        <f>IF(DAY(FebDom1)=1,FebDom1+16,FebDom1+23)</f>
        <v>43151</v>
      </c>
      <c r="E7" s="10">
        <f>IF(DAY(FebDom1)=1,FebDom1+17,FebDom1+24)</f>
        <v>43152</v>
      </c>
      <c r="F7" s="10">
        <f>IF(DAY(FebDom1)=1,FebDom1+18,FebDom1+25)</f>
        <v>43153</v>
      </c>
      <c r="G7" s="10">
        <f>IF(DAY(FebDom1)=1,FebDom1+19,FebDom1+26)</f>
        <v>43154</v>
      </c>
      <c r="H7" s="10">
        <f>IF(DAY(FebDom1)=1,FebDom1+20,FebDom1+27)</f>
        <v>43155</v>
      </c>
      <c r="I7" s="10">
        <f>IF(DAY(FebDom1)=1,FebDom1+21,FebDom1+28)</f>
        <v>43156</v>
      </c>
      <c r="J7" s="5"/>
      <c r="K7" s="11"/>
      <c r="L7" s="17"/>
      <c r="M7" s="63"/>
      <c r="N7" s="64"/>
    </row>
    <row r="8" spans="1:14" ht="18.75" customHeight="1" x14ac:dyDescent="0.2">
      <c r="A8" s="4"/>
      <c r="B8" s="101"/>
      <c r="C8" s="10">
        <f>IF(DAY(FebDom1)=1,FebDom1+22,FebDom1+29)</f>
        <v>43157</v>
      </c>
      <c r="D8" s="10">
        <f>IF(DAY(FebDom1)=1,FebDom1+23,FebDom1+30)</f>
        <v>43158</v>
      </c>
      <c r="E8" s="10">
        <f>IF(DAY(FebDom1)=1,FebDom1+24,FebDom1+31)</f>
        <v>43159</v>
      </c>
      <c r="F8" s="10">
        <f>IF(DAY(FebDom1)=1,FebDom1+25,FebDom1+32)</f>
        <v>43160</v>
      </c>
      <c r="G8" s="10">
        <f>IF(DAY(FebDom1)=1,FebDom1+26,FebDom1+33)</f>
        <v>43161</v>
      </c>
      <c r="H8" s="10">
        <f>IF(DAY(FebDom1)=1,FebDom1+27,FebDom1+34)</f>
        <v>43162</v>
      </c>
      <c r="I8" s="10">
        <f>IF(DAY(FebDom1)=1,FebDom1+28,FebDom1+35)</f>
        <v>43163</v>
      </c>
      <c r="J8" s="5"/>
      <c r="K8" s="11"/>
      <c r="L8" s="17"/>
      <c r="M8" s="63"/>
      <c r="N8" s="64"/>
    </row>
    <row r="9" spans="1:14" ht="18" customHeight="1" x14ac:dyDescent="0.2">
      <c r="A9" s="4"/>
      <c r="B9" s="101"/>
      <c r="C9" s="10">
        <f>IF(DAY(FebDom1)=1,FebDom1+29,FebDom1+36)</f>
        <v>43164</v>
      </c>
      <c r="D9" s="10">
        <f>IF(DAY(FebDom1)=1,FebDom1+30,FebDom1+37)</f>
        <v>43165</v>
      </c>
      <c r="E9" s="10">
        <f>IF(DAY(FebDom1)=1,FebDom1+31,FebDom1+38)</f>
        <v>43166</v>
      </c>
      <c r="F9" s="10">
        <f>IF(DAY(FebDom1)=1,FebDom1+32,FebDom1+39)</f>
        <v>43167</v>
      </c>
      <c r="G9" s="10">
        <f>IF(DAY(FebDom1)=1,FebDom1+33,FebDom1+40)</f>
        <v>43168</v>
      </c>
      <c r="H9" s="10">
        <f>IF(DAY(FebDom1)=1,FebDom1+34,FebDom1+41)</f>
        <v>43169</v>
      </c>
      <c r="I9" s="10">
        <f>IF(DAY(FebDom1)=1,FebDom1+35,FebDom1+42)</f>
        <v>43170</v>
      </c>
      <c r="J9" s="5"/>
      <c r="K9" s="12"/>
      <c r="L9" s="18"/>
      <c r="M9" s="65"/>
      <c r="N9" s="66"/>
    </row>
    <row r="10" spans="1:14" ht="18" customHeight="1" x14ac:dyDescent="0.2">
      <c r="A10" s="4"/>
      <c r="B10" s="102"/>
      <c r="C10" s="23"/>
      <c r="D10" s="23"/>
      <c r="E10" s="23"/>
      <c r="F10" s="23"/>
      <c r="G10" s="23"/>
      <c r="H10" s="23"/>
      <c r="I10" s="23"/>
      <c r="J10" s="24"/>
      <c r="K10" s="69" t="s">
        <v>13</v>
      </c>
      <c r="L10" s="16"/>
      <c r="M10" s="67"/>
      <c r="N10" s="68"/>
    </row>
    <row r="11" spans="1:14" ht="18" customHeight="1" x14ac:dyDescent="0.2">
      <c r="A11" s="4"/>
      <c r="B11" s="103" t="s">
        <v>11</v>
      </c>
      <c r="C11" s="104"/>
      <c r="D11" s="104"/>
      <c r="E11" s="104"/>
      <c r="F11" s="104"/>
      <c r="G11" s="104"/>
      <c r="H11" s="104"/>
      <c r="I11" s="104"/>
      <c r="J11" s="105"/>
      <c r="K11" s="70"/>
      <c r="L11" s="17"/>
      <c r="M11" s="63"/>
      <c r="N11" s="64"/>
    </row>
    <row r="12" spans="1:14" ht="18" customHeight="1" x14ac:dyDescent="0.2">
      <c r="A12" s="4"/>
      <c r="B12" s="103"/>
      <c r="C12" s="104"/>
      <c r="D12" s="104"/>
      <c r="E12" s="104"/>
      <c r="F12" s="104"/>
      <c r="G12" s="104"/>
      <c r="H12" s="104"/>
      <c r="I12" s="104"/>
      <c r="J12" s="105"/>
      <c r="K12" s="70"/>
      <c r="L12" s="17"/>
      <c r="M12" s="63"/>
      <c r="N12" s="64"/>
    </row>
    <row r="13" spans="1:14" ht="18" customHeight="1" x14ac:dyDescent="0.2">
      <c r="B13" s="3" t="s">
        <v>12</v>
      </c>
      <c r="C13" s="71" t="s">
        <v>13</v>
      </c>
      <c r="D13" s="73"/>
      <c r="E13" s="71" t="s">
        <v>14</v>
      </c>
      <c r="F13" s="73"/>
      <c r="G13" s="71" t="s">
        <v>15</v>
      </c>
      <c r="H13" s="73"/>
      <c r="I13" s="71" t="s">
        <v>16</v>
      </c>
      <c r="J13" s="72"/>
      <c r="K13" s="11"/>
      <c r="L13" s="17"/>
      <c r="M13" s="63"/>
      <c r="N13" s="64"/>
    </row>
    <row r="14" spans="1:14" ht="18" customHeight="1" x14ac:dyDescent="0.2">
      <c r="B14" s="8"/>
      <c r="C14" s="85"/>
      <c r="D14" s="86"/>
      <c r="E14" s="85"/>
      <c r="F14" s="86"/>
      <c r="G14" s="85"/>
      <c r="H14" s="86"/>
      <c r="I14" s="85"/>
      <c r="J14" s="94"/>
      <c r="K14" s="11"/>
      <c r="L14" s="17"/>
      <c r="M14" s="63"/>
      <c r="N14" s="64"/>
    </row>
    <row r="15" spans="1:14" ht="18" customHeight="1" x14ac:dyDescent="0.2">
      <c r="B15" s="6"/>
      <c r="C15" s="83"/>
      <c r="D15" s="84"/>
      <c r="E15" s="83"/>
      <c r="F15" s="84"/>
      <c r="G15" s="83"/>
      <c r="H15" s="84"/>
      <c r="I15" s="91"/>
      <c r="J15" s="92"/>
      <c r="K15" s="13"/>
      <c r="L15" s="19"/>
      <c r="M15" s="65"/>
      <c r="N15" s="66"/>
    </row>
    <row r="16" spans="1:14" ht="18" customHeight="1" x14ac:dyDescent="0.2">
      <c r="B16" s="8"/>
      <c r="C16" s="85"/>
      <c r="D16" s="86"/>
      <c r="E16" s="85"/>
      <c r="F16" s="86"/>
      <c r="G16" s="85"/>
      <c r="H16" s="86"/>
      <c r="I16" s="95"/>
      <c r="J16" s="96"/>
      <c r="K16" s="61" t="s">
        <v>14</v>
      </c>
      <c r="L16" s="16"/>
      <c r="M16" s="67"/>
      <c r="N16" s="68"/>
    </row>
    <row r="17" spans="2:14" ht="18" customHeight="1" x14ac:dyDescent="0.2">
      <c r="B17" s="6"/>
      <c r="C17" s="83"/>
      <c r="D17" s="84"/>
      <c r="E17" s="83"/>
      <c r="F17" s="84"/>
      <c r="G17" s="83"/>
      <c r="H17" s="84"/>
      <c r="I17" s="91"/>
      <c r="J17" s="92"/>
      <c r="K17" s="62"/>
      <c r="L17" s="17"/>
      <c r="M17" s="63"/>
      <c r="N17" s="64"/>
    </row>
    <row r="18" spans="2:14" ht="18" customHeight="1" x14ac:dyDescent="0.2">
      <c r="B18" s="9"/>
      <c r="C18" s="87"/>
      <c r="D18" s="88"/>
      <c r="E18" s="87"/>
      <c r="F18" s="88"/>
      <c r="G18" s="87"/>
      <c r="H18" s="88"/>
      <c r="I18" s="87"/>
      <c r="J18" s="93"/>
      <c r="K18" s="62"/>
      <c r="L18" s="17"/>
      <c r="M18" s="63"/>
      <c r="N18" s="64"/>
    </row>
    <row r="19" spans="2:14" ht="18" customHeight="1" x14ac:dyDescent="0.2">
      <c r="B19" s="6"/>
      <c r="C19" s="83"/>
      <c r="D19" s="84"/>
      <c r="E19" s="83"/>
      <c r="F19" s="84"/>
      <c r="G19" s="83"/>
      <c r="H19" s="84"/>
      <c r="I19" s="91"/>
      <c r="J19" s="92"/>
      <c r="K19" s="11"/>
      <c r="L19" s="17"/>
      <c r="M19" s="63"/>
      <c r="N19" s="64"/>
    </row>
    <row r="20" spans="2:14" ht="18" customHeight="1" x14ac:dyDescent="0.2">
      <c r="B20" s="8"/>
      <c r="C20" s="85"/>
      <c r="D20" s="86"/>
      <c r="E20" s="85"/>
      <c r="F20" s="86"/>
      <c r="G20" s="85"/>
      <c r="H20" s="86"/>
      <c r="I20" s="85"/>
      <c r="J20" s="94"/>
      <c r="K20" s="11"/>
      <c r="L20" s="17"/>
      <c r="M20" s="63"/>
      <c r="N20" s="64"/>
    </row>
    <row r="21" spans="2:14" ht="18" customHeight="1" x14ac:dyDescent="0.2">
      <c r="B21" s="6"/>
      <c r="C21" s="83"/>
      <c r="D21" s="84"/>
      <c r="E21" s="83"/>
      <c r="F21" s="84"/>
      <c r="G21" s="83"/>
      <c r="H21" s="84"/>
      <c r="I21" s="97"/>
      <c r="J21" s="98"/>
      <c r="K21" s="13"/>
      <c r="L21" s="19"/>
      <c r="M21" s="65"/>
      <c r="N21" s="66"/>
    </row>
    <row r="22" spans="2:14" ht="18" customHeight="1" x14ac:dyDescent="0.2">
      <c r="B22" s="8"/>
      <c r="C22" s="85"/>
      <c r="D22" s="86"/>
      <c r="E22" s="85"/>
      <c r="F22" s="86"/>
      <c r="G22" s="85"/>
      <c r="H22" s="86"/>
      <c r="I22" s="85"/>
      <c r="J22" s="94"/>
      <c r="K22" s="61" t="s">
        <v>15</v>
      </c>
      <c r="L22" s="16"/>
      <c r="M22" s="67"/>
      <c r="N22" s="68"/>
    </row>
    <row r="23" spans="2:14" ht="18" customHeight="1" x14ac:dyDescent="0.2">
      <c r="B23" s="6"/>
      <c r="C23" s="83"/>
      <c r="D23" s="84"/>
      <c r="E23" s="83"/>
      <c r="F23" s="84"/>
      <c r="G23" s="83"/>
      <c r="H23" s="84"/>
      <c r="I23" s="91"/>
      <c r="J23" s="92"/>
      <c r="K23" s="62"/>
      <c r="L23" s="17"/>
      <c r="M23" s="63"/>
      <c r="N23" s="64"/>
    </row>
    <row r="24" spans="2:14" ht="18" customHeight="1" x14ac:dyDescent="0.2">
      <c r="B24" s="8"/>
      <c r="C24" s="85"/>
      <c r="D24" s="86"/>
      <c r="E24" s="85"/>
      <c r="F24" s="86"/>
      <c r="G24" s="85"/>
      <c r="H24" s="86"/>
      <c r="I24" s="85"/>
      <c r="J24" s="94"/>
      <c r="K24" s="62"/>
      <c r="L24" s="17"/>
      <c r="M24" s="63"/>
      <c r="N24" s="64"/>
    </row>
    <row r="25" spans="2:14" ht="18" customHeight="1" x14ac:dyDescent="0.2">
      <c r="B25" s="6"/>
      <c r="C25" s="83"/>
      <c r="D25" s="84"/>
      <c r="E25" s="83"/>
      <c r="F25" s="84"/>
      <c r="G25" s="83"/>
      <c r="H25" s="84"/>
      <c r="I25" s="91"/>
      <c r="J25" s="92"/>
      <c r="K25" s="62"/>
      <c r="L25" s="17"/>
      <c r="M25" s="63"/>
      <c r="N25" s="64"/>
    </row>
    <row r="26" spans="2:14" ht="18" customHeight="1" x14ac:dyDescent="0.2">
      <c r="B26" s="8"/>
      <c r="C26" s="85"/>
      <c r="D26" s="86"/>
      <c r="E26" s="85"/>
      <c r="F26" s="86"/>
      <c r="G26" s="85"/>
      <c r="H26" s="86"/>
      <c r="I26" s="85"/>
      <c r="J26" s="94"/>
      <c r="K26" s="11"/>
      <c r="L26" s="17"/>
      <c r="M26" s="63"/>
      <c r="N26" s="64"/>
    </row>
    <row r="27" spans="2:14" ht="18" customHeight="1" x14ac:dyDescent="0.2">
      <c r="B27" s="6"/>
      <c r="C27" s="83"/>
      <c r="D27" s="84"/>
      <c r="E27" s="83"/>
      <c r="F27" s="84"/>
      <c r="G27" s="83"/>
      <c r="H27" s="84"/>
      <c r="I27" s="91"/>
      <c r="J27" s="92"/>
      <c r="K27" s="13"/>
      <c r="L27" s="19"/>
      <c r="M27" s="65"/>
      <c r="N27" s="66"/>
    </row>
    <row r="28" spans="2:14" ht="18" customHeight="1" x14ac:dyDescent="0.2">
      <c r="B28" s="8"/>
      <c r="C28" s="85"/>
      <c r="D28" s="86"/>
      <c r="E28" s="85"/>
      <c r="F28" s="86"/>
      <c r="G28" s="85"/>
      <c r="H28" s="86"/>
      <c r="I28" s="85"/>
      <c r="J28" s="94"/>
      <c r="K28" s="69" t="s">
        <v>16</v>
      </c>
      <c r="L28" s="16"/>
      <c r="M28" s="67"/>
      <c r="N28" s="68"/>
    </row>
    <row r="29" spans="2:14" ht="18" customHeight="1" x14ac:dyDescent="0.2">
      <c r="B29" s="6"/>
      <c r="C29" s="83"/>
      <c r="D29" s="84"/>
      <c r="E29" s="83"/>
      <c r="F29" s="84"/>
      <c r="G29" s="83"/>
      <c r="H29" s="84"/>
      <c r="I29" s="83"/>
      <c r="J29" s="99"/>
      <c r="K29" s="70"/>
      <c r="L29" s="17"/>
      <c r="M29" s="63"/>
      <c r="N29" s="64"/>
    </row>
    <row r="30" spans="2:14" ht="18" customHeight="1" x14ac:dyDescent="0.2">
      <c r="B30" s="8"/>
      <c r="C30" s="85"/>
      <c r="D30" s="86"/>
      <c r="E30" s="85"/>
      <c r="F30" s="86"/>
      <c r="G30" s="85"/>
      <c r="H30" s="86"/>
      <c r="I30" s="108"/>
      <c r="J30" s="109"/>
      <c r="K30" s="70"/>
      <c r="L30" s="17"/>
      <c r="M30" s="63"/>
      <c r="N30" s="64"/>
    </row>
    <row r="31" spans="2:14" ht="18" customHeight="1" x14ac:dyDescent="0.2">
      <c r="B31" s="6"/>
      <c r="C31" s="83"/>
      <c r="D31" s="84"/>
      <c r="E31" s="83"/>
      <c r="F31" s="84"/>
      <c r="G31" s="83"/>
      <c r="H31" s="84"/>
      <c r="I31" s="83"/>
      <c r="J31" s="99"/>
      <c r="K31" s="14"/>
      <c r="L31" s="17"/>
      <c r="M31" s="63"/>
      <c r="N31" s="64"/>
    </row>
    <row r="32" spans="2:14" ht="18" customHeight="1" x14ac:dyDescent="0.2">
      <c r="B32" s="8"/>
      <c r="C32" s="85"/>
      <c r="D32" s="86"/>
      <c r="E32" s="85"/>
      <c r="F32" s="86"/>
      <c r="G32" s="85"/>
      <c r="H32" s="86"/>
      <c r="I32" s="95"/>
      <c r="J32" s="96"/>
      <c r="K32" s="14"/>
      <c r="L32" s="17"/>
      <c r="M32" s="63"/>
      <c r="N32" s="64"/>
    </row>
    <row r="33" spans="2:14" ht="18" customHeight="1" x14ac:dyDescent="0.2">
      <c r="B33" s="7"/>
      <c r="C33" s="89"/>
      <c r="D33" s="90"/>
      <c r="E33" s="89"/>
      <c r="F33" s="90"/>
      <c r="G33" s="89"/>
      <c r="H33" s="90"/>
      <c r="I33" s="110"/>
      <c r="J33" s="111"/>
      <c r="K33" s="15"/>
      <c r="L33" s="20"/>
      <c r="M33" s="106"/>
      <c r="N33" s="107"/>
    </row>
  </sheetData>
  <mergeCells count="122">
    <mergeCell ref="C33:D33"/>
    <mergeCell ref="E33:F33"/>
    <mergeCell ref="G33:H33"/>
    <mergeCell ref="I33:J33"/>
    <mergeCell ref="M33:N33"/>
    <mergeCell ref="C31:D31"/>
    <mergeCell ref="E31:F31"/>
    <mergeCell ref="G31:H31"/>
    <mergeCell ref="I31:J31"/>
    <mergeCell ref="M31:N31"/>
    <mergeCell ref="C32:D32"/>
    <mergeCell ref="E32:F32"/>
    <mergeCell ref="G32:H32"/>
    <mergeCell ref="I32:J32"/>
    <mergeCell ref="M32:N32"/>
    <mergeCell ref="M29:N29"/>
    <mergeCell ref="C30:D30"/>
    <mergeCell ref="E30:F30"/>
    <mergeCell ref="G30:H30"/>
    <mergeCell ref="I30:J30"/>
    <mergeCell ref="M30:N30"/>
    <mergeCell ref="C28:D28"/>
    <mergeCell ref="E28:F28"/>
    <mergeCell ref="G28:H28"/>
    <mergeCell ref="I28:J28"/>
    <mergeCell ref="K28:K30"/>
    <mergeCell ref="M28:N28"/>
    <mergeCell ref="C29:D29"/>
    <mergeCell ref="E29:F29"/>
    <mergeCell ref="G29:H29"/>
    <mergeCell ref="I29:J29"/>
    <mergeCell ref="I25:J25"/>
    <mergeCell ref="M25:N25"/>
    <mergeCell ref="C26:D26"/>
    <mergeCell ref="E26:F26"/>
    <mergeCell ref="G26:H26"/>
    <mergeCell ref="I26:J26"/>
    <mergeCell ref="M26:N26"/>
    <mergeCell ref="C27:D27"/>
    <mergeCell ref="E27:F27"/>
    <mergeCell ref="G27:H27"/>
    <mergeCell ref="I27:J27"/>
    <mergeCell ref="M27:N27"/>
    <mergeCell ref="M22:N22"/>
    <mergeCell ref="C23:D23"/>
    <mergeCell ref="E23:F23"/>
    <mergeCell ref="G23:H23"/>
    <mergeCell ref="I23:J23"/>
    <mergeCell ref="M23:N23"/>
    <mergeCell ref="C21:D21"/>
    <mergeCell ref="E21:F21"/>
    <mergeCell ref="G21:H21"/>
    <mergeCell ref="I21:J21"/>
    <mergeCell ref="M21:N21"/>
    <mergeCell ref="C22:D22"/>
    <mergeCell ref="E22:F22"/>
    <mergeCell ref="G22:H22"/>
    <mergeCell ref="I22:J22"/>
    <mergeCell ref="K22:K25"/>
    <mergeCell ref="C24:D24"/>
    <mergeCell ref="E24:F24"/>
    <mergeCell ref="G24:H24"/>
    <mergeCell ref="I24:J24"/>
    <mergeCell ref="M24:N24"/>
    <mergeCell ref="C25:D25"/>
    <mergeCell ref="E25:F25"/>
    <mergeCell ref="G25:H25"/>
    <mergeCell ref="C19:D19"/>
    <mergeCell ref="E19:F19"/>
    <mergeCell ref="G19:H19"/>
    <mergeCell ref="I19:J19"/>
    <mergeCell ref="M19:N19"/>
    <mergeCell ref="C20:D20"/>
    <mergeCell ref="E20:F20"/>
    <mergeCell ref="G20:H20"/>
    <mergeCell ref="I20:J20"/>
    <mergeCell ref="M20:N20"/>
    <mergeCell ref="M17:N17"/>
    <mergeCell ref="C18:D18"/>
    <mergeCell ref="E18:F18"/>
    <mergeCell ref="G18:H18"/>
    <mergeCell ref="I18:J18"/>
    <mergeCell ref="M18:N18"/>
    <mergeCell ref="C16:D16"/>
    <mergeCell ref="E16:F16"/>
    <mergeCell ref="G16:H16"/>
    <mergeCell ref="I16:J16"/>
    <mergeCell ref="K16:K18"/>
    <mergeCell ref="M16:N16"/>
    <mergeCell ref="C17:D17"/>
    <mergeCell ref="E17:F17"/>
    <mergeCell ref="G17:H17"/>
    <mergeCell ref="I17:J17"/>
    <mergeCell ref="C14:D14"/>
    <mergeCell ref="E14:F14"/>
    <mergeCell ref="G14:H14"/>
    <mergeCell ref="I14:J14"/>
    <mergeCell ref="M14:N14"/>
    <mergeCell ref="C15:D15"/>
    <mergeCell ref="E15:F15"/>
    <mergeCell ref="G15:H15"/>
    <mergeCell ref="I15:J15"/>
    <mergeCell ref="M15:N15"/>
    <mergeCell ref="M10:N10"/>
    <mergeCell ref="B11:J12"/>
    <mergeCell ref="M11:N11"/>
    <mergeCell ref="M12:N12"/>
    <mergeCell ref="C13:D13"/>
    <mergeCell ref="E13:F13"/>
    <mergeCell ref="G13:H13"/>
    <mergeCell ref="I13:J13"/>
    <mergeCell ref="M13:N13"/>
    <mergeCell ref="B2:B10"/>
    <mergeCell ref="K2:M3"/>
    <mergeCell ref="K4:K6"/>
    <mergeCell ref="M4:N4"/>
    <mergeCell ref="M5:N5"/>
    <mergeCell ref="M6:N6"/>
    <mergeCell ref="M7:N7"/>
    <mergeCell ref="M8:N8"/>
    <mergeCell ref="M9:N9"/>
    <mergeCell ref="K10:K12"/>
  </mergeCells>
  <conditionalFormatting sqref="C4:H4">
    <cfRule type="expression" dxfId="45" priority="3" stopIfTrue="1">
      <formula>DAY(C4)&gt;8</formula>
    </cfRule>
  </conditionalFormatting>
  <conditionalFormatting sqref="C8:I10">
    <cfRule type="expression" dxfId="44" priority="2" stopIfTrue="1">
      <formula>AND(DAY(C8)&gt;=1,DAY(C8)&lt;=15)</formula>
    </cfRule>
  </conditionalFormatting>
  <conditionalFormatting sqref="C4:I9">
    <cfRule type="expression" dxfId="43" priority="4">
      <formula>VLOOKUP(DAY(C4),DíasDeTareas,1,FALSE)=DAY(C4)</formula>
    </cfRule>
  </conditionalFormatting>
  <conditionalFormatting sqref="B14:J33">
    <cfRule type="expression" dxfId="42" priority="1">
      <formula>B14&lt;&gt;""</formula>
    </cfRule>
  </conditionalFormatting>
  <printOptions horizontalCentered="1"/>
  <pageMargins left="0.5" right="0.5" top="0.5" bottom="0.5" header="0.3" footer="0.3"/>
  <pageSetup scale="6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AO33"/>
  <sheetViews>
    <sheetView showGridLines="0" topLeftCell="A16" zoomScaleNormal="100" zoomScalePageLayoutView="84" workbookViewId="0">
      <selection activeCell="B26" sqref="B26:J33"/>
    </sheetView>
  </sheetViews>
  <sheetFormatPr baseColWidth="10" defaultColWidth="8.7109375" defaultRowHeight="16.5" customHeight="1" x14ac:dyDescent="0.2"/>
  <cols>
    <col min="1" max="1" width="2.28515625" style="1" customWidth="1"/>
    <col min="2" max="2" width="12.7109375" style="1" customWidth="1"/>
    <col min="3" max="10" width="6.7109375" style="1" customWidth="1"/>
    <col min="11" max="11" width="7.28515625" style="1" customWidth="1"/>
    <col min="12" max="12" width="3.85546875" customWidth="1"/>
    <col min="13" max="13" width="51.42578125" style="1" customWidth="1"/>
    <col min="14" max="14" width="10.7109375" style="1" customWidth="1"/>
    <col min="15" max="15" width="2.28515625" customWidth="1"/>
    <col min="16" max="22" width="8.85546875" customWidth="1"/>
    <col min="42" max="16384" width="8.7109375" style="1"/>
  </cols>
  <sheetData>
    <row r="1" spans="1:14" ht="11.25" customHeight="1" x14ac:dyDescent="0.2"/>
    <row r="2" spans="1:14" ht="18" customHeight="1" x14ac:dyDescent="0.2">
      <c r="A2" s="4"/>
      <c r="B2" s="100" t="s">
        <v>25</v>
      </c>
      <c r="C2" s="21"/>
      <c r="D2" s="21"/>
      <c r="E2" s="21"/>
      <c r="F2" s="21"/>
      <c r="G2" s="21"/>
      <c r="H2" s="21"/>
      <c r="I2" s="21"/>
      <c r="J2" s="22"/>
      <c r="K2" s="74" t="s">
        <v>3</v>
      </c>
      <c r="L2" s="75">
        <v>2013</v>
      </c>
      <c r="M2" s="75"/>
      <c r="N2" s="25"/>
    </row>
    <row r="3" spans="1:14" ht="21" customHeight="1" x14ac:dyDescent="0.2">
      <c r="A3" s="4"/>
      <c r="B3" s="101"/>
      <c r="C3" s="2" t="s">
        <v>5</v>
      </c>
      <c r="D3" s="2" t="s">
        <v>1</v>
      </c>
      <c r="E3" s="2" t="s">
        <v>6</v>
      </c>
      <c r="F3" s="2" t="s">
        <v>7</v>
      </c>
      <c r="G3" s="2" t="s">
        <v>8</v>
      </c>
      <c r="H3" s="2" t="s">
        <v>0</v>
      </c>
      <c r="I3" s="2" t="s">
        <v>9</v>
      </c>
      <c r="J3" s="5"/>
      <c r="K3" s="76"/>
      <c r="L3" s="77"/>
      <c r="M3" s="77"/>
      <c r="N3" s="26"/>
    </row>
    <row r="4" spans="1:14" ht="18" customHeight="1" x14ac:dyDescent="0.2">
      <c r="A4" s="4"/>
      <c r="B4" s="101"/>
      <c r="C4" s="10">
        <f>IF(DAY(MarDom1)=1,MarDom1-6,MarDom1+1)</f>
        <v>43157</v>
      </c>
      <c r="D4" s="10">
        <f>IF(DAY(MarDom1)=1,MarDom1-5,MarDom1+2)</f>
        <v>43158</v>
      </c>
      <c r="E4" s="10">
        <f>IF(DAY(MarDom1)=1,MarDom1-4,MarDom1+3)</f>
        <v>43159</v>
      </c>
      <c r="F4" s="10">
        <f>IF(DAY(MarDom1)=1,MarDom1-3,MarDom1+4)</f>
        <v>43160</v>
      </c>
      <c r="G4" s="10">
        <f>IF(DAY(MarDom1)=1,MarDom1-2,MarDom1+5)</f>
        <v>43161</v>
      </c>
      <c r="H4" s="10">
        <f>IF(DAY(MarDom1)=1,MarDom1-1,MarDom1+6)</f>
        <v>43162</v>
      </c>
      <c r="I4" s="10">
        <f>IF(DAY(MarDom1)=1,MarDom1,MarDom1+7)</f>
        <v>43163</v>
      </c>
      <c r="J4" s="5"/>
      <c r="K4" s="78" t="s">
        <v>12</v>
      </c>
      <c r="L4" s="16"/>
      <c r="M4" s="79"/>
      <c r="N4" s="80"/>
    </row>
    <row r="5" spans="1:14" ht="18" customHeight="1" x14ac:dyDescent="0.2">
      <c r="A5" s="4"/>
      <c r="B5" s="101"/>
      <c r="C5" s="10">
        <f>IF(DAY(MarDom1)=1,MarDom1+1,MarDom1+8)</f>
        <v>43164</v>
      </c>
      <c r="D5" s="10">
        <f>IF(DAY(MarDom1)=1,MarDom1+2,MarDom1+9)</f>
        <v>43165</v>
      </c>
      <c r="E5" s="10">
        <f>IF(DAY(MarDom1)=1,MarDom1+3,MarDom1+10)</f>
        <v>43166</v>
      </c>
      <c r="F5" s="10">
        <f>IF(DAY(MarDom1)=1,MarDom1+4,MarDom1+11)</f>
        <v>43167</v>
      </c>
      <c r="G5" s="10">
        <f>IF(DAY(MarDom1)=1,MarDom1+5,MarDom1+12)</f>
        <v>43168</v>
      </c>
      <c r="H5" s="10">
        <f>IF(DAY(MarDom1)=1,MarDom1+6,MarDom1+13)</f>
        <v>43169</v>
      </c>
      <c r="I5" s="10">
        <f>IF(DAY(MarDom1)=1,MarDom1+7,MarDom1+14)</f>
        <v>43170</v>
      </c>
      <c r="J5" s="5"/>
      <c r="K5" s="70"/>
      <c r="L5" s="17"/>
      <c r="M5" s="63"/>
      <c r="N5" s="64"/>
    </row>
    <row r="6" spans="1:14" ht="18" customHeight="1" x14ac:dyDescent="0.2">
      <c r="A6" s="4"/>
      <c r="B6" s="101"/>
      <c r="C6" s="10">
        <f>IF(DAY(MarDom1)=1,MarDom1+8,MarDom1+15)</f>
        <v>43171</v>
      </c>
      <c r="D6" s="10">
        <f>IF(DAY(MarDom1)=1,MarDom1+9,MarDom1+16)</f>
        <v>43172</v>
      </c>
      <c r="E6" s="10">
        <f>IF(DAY(MarDom1)=1,MarDom1+10,MarDom1+17)</f>
        <v>43173</v>
      </c>
      <c r="F6" s="10">
        <f>IF(DAY(MarDom1)=1,MarDom1+11,MarDom1+18)</f>
        <v>43174</v>
      </c>
      <c r="G6" s="10">
        <f>IF(DAY(MarDom1)=1,MarDom1+12,MarDom1+19)</f>
        <v>43175</v>
      </c>
      <c r="H6" s="10">
        <f>IF(DAY(MarDom1)=1,MarDom1+13,MarDom1+20)</f>
        <v>43176</v>
      </c>
      <c r="I6" s="10">
        <f>IF(DAY(MarDom1)=1,MarDom1+14,MarDom1+21)</f>
        <v>43177</v>
      </c>
      <c r="J6" s="5"/>
      <c r="K6" s="70"/>
      <c r="L6" s="17"/>
      <c r="M6" s="63"/>
      <c r="N6" s="64"/>
    </row>
    <row r="7" spans="1:14" ht="18" customHeight="1" x14ac:dyDescent="0.2">
      <c r="A7" s="4"/>
      <c r="B7" s="101"/>
      <c r="C7" s="10">
        <f>IF(DAY(MarDom1)=1,MarDom1+15,MarDom1+22)</f>
        <v>43178</v>
      </c>
      <c r="D7" s="10">
        <f>IF(DAY(MarDom1)=1,MarDom1+16,MarDom1+23)</f>
        <v>43179</v>
      </c>
      <c r="E7" s="10">
        <f>IF(DAY(MarDom1)=1,MarDom1+17,MarDom1+24)</f>
        <v>43180</v>
      </c>
      <c r="F7" s="10">
        <f>IF(DAY(MarDom1)=1,MarDom1+18,MarDom1+25)</f>
        <v>43181</v>
      </c>
      <c r="G7" s="10">
        <f>IF(DAY(MarDom1)=1,MarDom1+19,MarDom1+26)</f>
        <v>43182</v>
      </c>
      <c r="H7" s="10">
        <f>IF(DAY(MarDom1)=1,MarDom1+20,MarDom1+27)</f>
        <v>43183</v>
      </c>
      <c r="I7" s="10">
        <f>IF(DAY(MarDom1)=1,MarDom1+21,MarDom1+28)</f>
        <v>43184</v>
      </c>
      <c r="J7" s="5"/>
      <c r="K7" s="11"/>
      <c r="L7" s="17"/>
      <c r="M7" s="63"/>
      <c r="N7" s="64"/>
    </row>
    <row r="8" spans="1:14" ht="18.75" customHeight="1" x14ac:dyDescent="0.2">
      <c r="A8" s="4"/>
      <c r="B8" s="101"/>
      <c r="C8" s="10">
        <f>IF(DAY(MarDom1)=1,MarDom1+22,MarDom1+29)</f>
        <v>43185</v>
      </c>
      <c r="D8" s="10">
        <f>IF(DAY(MarDom1)=1,MarDom1+23,MarDom1+30)</f>
        <v>43186</v>
      </c>
      <c r="E8" s="10">
        <f>IF(DAY(MarDom1)=1,MarDom1+24,MarDom1+31)</f>
        <v>43187</v>
      </c>
      <c r="F8" s="10">
        <f>IF(DAY(MarDom1)=1,MarDom1+25,MarDom1+32)</f>
        <v>43188</v>
      </c>
      <c r="G8" s="10">
        <f>IF(DAY(MarDom1)=1,MarDom1+26,MarDom1+33)</f>
        <v>43189</v>
      </c>
      <c r="H8" s="10">
        <f>IF(DAY(MarDom1)=1,MarDom1+27,MarDom1+34)</f>
        <v>43190</v>
      </c>
      <c r="I8" s="10">
        <f>IF(DAY(MarDom1)=1,MarDom1+28,MarDom1+35)</f>
        <v>43191</v>
      </c>
      <c r="J8" s="5"/>
      <c r="K8" s="11"/>
      <c r="L8" s="17"/>
      <c r="M8" s="63"/>
      <c r="N8" s="64"/>
    </row>
    <row r="9" spans="1:14" ht="18" customHeight="1" x14ac:dyDescent="0.2">
      <c r="A9" s="4"/>
      <c r="B9" s="101"/>
      <c r="C9" s="10">
        <f>IF(DAY(MarDom1)=1,MarDom1+29,MarDom1+36)</f>
        <v>43192</v>
      </c>
      <c r="D9" s="10">
        <f>IF(DAY(MarDom1)=1,MarDom1+30,MarDom1+37)</f>
        <v>43193</v>
      </c>
      <c r="E9" s="10">
        <f>IF(DAY(MarDom1)=1,MarDom1+31,MarDom1+38)</f>
        <v>43194</v>
      </c>
      <c r="F9" s="10">
        <f>IF(DAY(MarDom1)=1,MarDom1+32,MarDom1+39)</f>
        <v>43195</v>
      </c>
      <c r="G9" s="10">
        <f>IF(DAY(MarDom1)=1,MarDom1+33,MarDom1+40)</f>
        <v>43196</v>
      </c>
      <c r="H9" s="10">
        <f>IF(DAY(MarDom1)=1,MarDom1+34,MarDom1+41)</f>
        <v>43197</v>
      </c>
      <c r="I9" s="10">
        <f>IF(DAY(MarDom1)=1,MarDom1+35,MarDom1+42)</f>
        <v>43198</v>
      </c>
      <c r="J9" s="5"/>
      <c r="K9" s="12"/>
      <c r="L9" s="18"/>
      <c r="M9" s="65"/>
      <c r="N9" s="66"/>
    </row>
    <row r="10" spans="1:14" ht="18" customHeight="1" x14ac:dyDescent="0.2">
      <c r="A10" s="4"/>
      <c r="B10" s="102"/>
      <c r="C10" s="23"/>
      <c r="D10" s="23"/>
      <c r="E10" s="23"/>
      <c r="F10" s="23"/>
      <c r="G10" s="23"/>
      <c r="H10" s="23"/>
      <c r="I10" s="23"/>
      <c r="J10" s="24"/>
      <c r="K10" s="69" t="s">
        <v>13</v>
      </c>
      <c r="L10" s="16"/>
      <c r="M10" s="67"/>
      <c r="N10" s="68"/>
    </row>
    <row r="11" spans="1:14" ht="18" customHeight="1" x14ac:dyDescent="0.2">
      <c r="A11" s="4"/>
      <c r="B11" s="103" t="s">
        <v>11</v>
      </c>
      <c r="C11" s="104"/>
      <c r="D11" s="104"/>
      <c r="E11" s="104"/>
      <c r="F11" s="104"/>
      <c r="G11" s="104"/>
      <c r="H11" s="104"/>
      <c r="I11" s="104"/>
      <c r="J11" s="105"/>
      <c r="K11" s="70"/>
      <c r="L11" s="17"/>
      <c r="M11" s="63"/>
      <c r="N11" s="64"/>
    </row>
    <row r="12" spans="1:14" ht="18" customHeight="1" x14ac:dyDescent="0.2">
      <c r="A12" s="4"/>
      <c r="B12" s="103"/>
      <c r="C12" s="104"/>
      <c r="D12" s="104"/>
      <c r="E12" s="104"/>
      <c r="F12" s="104"/>
      <c r="G12" s="104"/>
      <c r="H12" s="104"/>
      <c r="I12" s="104"/>
      <c r="J12" s="105"/>
      <c r="K12" s="70"/>
      <c r="L12" s="17"/>
      <c r="M12" s="63"/>
      <c r="N12" s="64"/>
    </row>
    <row r="13" spans="1:14" ht="18" customHeight="1" x14ac:dyDescent="0.2">
      <c r="B13" s="3" t="s">
        <v>12</v>
      </c>
      <c r="C13" s="71" t="s">
        <v>13</v>
      </c>
      <c r="D13" s="73"/>
      <c r="E13" s="71" t="s">
        <v>14</v>
      </c>
      <c r="F13" s="73"/>
      <c r="G13" s="71" t="s">
        <v>15</v>
      </c>
      <c r="H13" s="73"/>
      <c r="I13" s="71" t="s">
        <v>16</v>
      </c>
      <c r="J13" s="72"/>
      <c r="K13" s="11"/>
      <c r="L13" s="17"/>
      <c r="M13" s="63"/>
      <c r="N13" s="64"/>
    </row>
    <row r="14" spans="1:14" ht="18" customHeight="1" x14ac:dyDescent="0.2">
      <c r="B14" s="8"/>
      <c r="C14" s="85"/>
      <c r="D14" s="86"/>
      <c r="E14" s="85"/>
      <c r="F14" s="86"/>
      <c r="G14" s="85"/>
      <c r="H14" s="86"/>
      <c r="I14" s="85"/>
      <c r="J14" s="94"/>
      <c r="K14" s="11"/>
      <c r="L14" s="17"/>
      <c r="M14" s="63"/>
      <c r="N14" s="64"/>
    </row>
    <row r="15" spans="1:14" ht="18" customHeight="1" x14ac:dyDescent="0.2">
      <c r="B15" s="6"/>
      <c r="C15" s="83"/>
      <c r="D15" s="84"/>
      <c r="E15" s="83"/>
      <c r="F15" s="84"/>
      <c r="G15" s="83"/>
      <c r="H15" s="84"/>
      <c r="I15" s="91"/>
      <c r="J15" s="92"/>
      <c r="K15" s="13"/>
      <c r="L15" s="19"/>
      <c r="M15" s="65"/>
      <c r="N15" s="66"/>
    </row>
    <row r="16" spans="1:14" ht="18" customHeight="1" x14ac:dyDescent="0.2">
      <c r="B16" s="8"/>
      <c r="C16" s="85"/>
      <c r="D16" s="86"/>
      <c r="E16" s="85"/>
      <c r="F16" s="86"/>
      <c r="G16" s="85"/>
      <c r="H16" s="86"/>
      <c r="I16" s="95"/>
      <c r="J16" s="96"/>
      <c r="K16" s="61" t="s">
        <v>14</v>
      </c>
      <c r="L16" s="16"/>
      <c r="M16" s="67"/>
      <c r="N16" s="68"/>
    </row>
    <row r="17" spans="2:14" ht="18" customHeight="1" x14ac:dyDescent="0.2">
      <c r="B17" s="6"/>
      <c r="C17" s="83"/>
      <c r="D17" s="84"/>
      <c r="E17" s="83"/>
      <c r="F17" s="84"/>
      <c r="G17" s="83"/>
      <c r="H17" s="84"/>
      <c r="I17" s="91"/>
      <c r="J17" s="92"/>
      <c r="K17" s="62"/>
      <c r="L17" s="17"/>
      <c r="M17" s="63"/>
      <c r="N17" s="64"/>
    </row>
    <row r="18" spans="2:14" ht="18" customHeight="1" x14ac:dyDescent="0.2">
      <c r="B18" s="9"/>
      <c r="C18" s="87"/>
      <c r="D18" s="88"/>
      <c r="E18" s="87"/>
      <c r="F18" s="88"/>
      <c r="G18" s="87"/>
      <c r="H18" s="88"/>
      <c r="I18" s="87"/>
      <c r="J18" s="93"/>
      <c r="K18" s="62"/>
      <c r="L18" s="17"/>
      <c r="M18" s="63"/>
      <c r="N18" s="64"/>
    </row>
    <row r="19" spans="2:14" ht="18" customHeight="1" x14ac:dyDescent="0.2">
      <c r="B19" s="6"/>
      <c r="C19" s="83"/>
      <c r="D19" s="84"/>
      <c r="E19" s="83"/>
      <c r="F19" s="84"/>
      <c r="G19" s="83"/>
      <c r="H19" s="84"/>
      <c r="I19" s="91"/>
      <c r="J19" s="92"/>
      <c r="K19" s="11"/>
      <c r="L19" s="17"/>
      <c r="M19" s="63"/>
      <c r="N19" s="64"/>
    </row>
    <row r="20" spans="2:14" ht="18" customHeight="1" x14ac:dyDescent="0.2">
      <c r="B20" s="8"/>
      <c r="C20" s="85"/>
      <c r="D20" s="86"/>
      <c r="E20" s="85"/>
      <c r="F20" s="86"/>
      <c r="G20" s="85"/>
      <c r="H20" s="86"/>
      <c r="I20" s="85"/>
      <c r="J20" s="94"/>
      <c r="K20" s="11"/>
      <c r="L20" s="17"/>
      <c r="M20" s="63"/>
      <c r="N20" s="64"/>
    </row>
    <row r="21" spans="2:14" ht="18" customHeight="1" x14ac:dyDescent="0.2">
      <c r="B21" s="6"/>
      <c r="C21" s="83"/>
      <c r="D21" s="84"/>
      <c r="E21" s="83"/>
      <c r="F21" s="84"/>
      <c r="G21" s="83"/>
      <c r="H21" s="84"/>
      <c r="I21" s="97"/>
      <c r="J21" s="98"/>
      <c r="K21" s="13"/>
      <c r="L21" s="19"/>
      <c r="M21" s="65"/>
      <c r="N21" s="66"/>
    </row>
    <row r="22" spans="2:14" ht="18" customHeight="1" x14ac:dyDescent="0.2">
      <c r="B22" s="8"/>
      <c r="C22" s="85"/>
      <c r="D22" s="86"/>
      <c r="E22" s="85"/>
      <c r="F22" s="86"/>
      <c r="G22" s="85"/>
      <c r="H22" s="86"/>
      <c r="I22" s="85"/>
      <c r="J22" s="94"/>
      <c r="K22" s="61" t="s">
        <v>15</v>
      </c>
      <c r="L22" s="16"/>
      <c r="M22" s="67"/>
      <c r="N22" s="68"/>
    </row>
    <row r="23" spans="2:14" ht="18" customHeight="1" x14ac:dyDescent="0.2">
      <c r="B23" s="6"/>
      <c r="C23" s="83"/>
      <c r="D23" s="84"/>
      <c r="E23" s="83"/>
      <c r="F23" s="84"/>
      <c r="G23" s="83"/>
      <c r="H23" s="84"/>
      <c r="I23" s="91"/>
      <c r="J23" s="92"/>
      <c r="K23" s="62"/>
      <c r="L23" s="17"/>
      <c r="M23" s="63"/>
      <c r="N23" s="64"/>
    </row>
    <row r="24" spans="2:14" ht="18" customHeight="1" x14ac:dyDescent="0.2">
      <c r="B24" s="8"/>
      <c r="C24" s="85"/>
      <c r="D24" s="86"/>
      <c r="E24" s="85"/>
      <c r="F24" s="86"/>
      <c r="G24" s="85"/>
      <c r="H24" s="86"/>
      <c r="I24" s="85"/>
      <c r="J24" s="94"/>
      <c r="K24" s="62"/>
      <c r="L24" s="17"/>
      <c r="M24" s="63"/>
      <c r="N24" s="64"/>
    </row>
    <row r="25" spans="2:14" ht="18" customHeight="1" x14ac:dyDescent="0.2">
      <c r="B25" s="6"/>
      <c r="C25" s="83"/>
      <c r="D25" s="84"/>
      <c r="E25" s="83"/>
      <c r="F25" s="84"/>
      <c r="G25" s="83"/>
      <c r="H25" s="84"/>
      <c r="I25" s="91"/>
      <c r="J25" s="92"/>
      <c r="K25" s="62"/>
      <c r="L25" s="17"/>
      <c r="M25" s="63"/>
      <c r="N25" s="64"/>
    </row>
    <row r="26" spans="2:14" ht="18" customHeight="1" x14ac:dyDescent="0.2">
      <c r="B26" s="8"/>
      <c r="C26" s="85"/>
      <c r="D26" s="86"/>
      <c r="E26" s="85"/>
      <c r="F26" s="86"/>
      <c r="G26" s="85"/>
      <c r="H26" s="86"/>
      <c r="I26" s="85"/>
      <c r="J26" s="94"/>
      <c r="K26" s="11"/>
      <c r="L26" s="17"/>
      <c r="M26" s="63"/>
      <c r="N26" s="64"/>
    </row>
    <row r="27" spans="2:14" ht="18" customHeight="1" x14ac:dyDescent="0.2">
      <c r="B27" s="6"/>
      <c r="C27" s="83"/>
      <c r="D27" s="84"/>
      <c r="E27" s="83"/>
      <c r="F27" s="84"/>
      <c r="G27" s="83"/>
      <c r="H27" s="84"/>
      <c r="I27" s="91"/>
      <c r="J27" s="92"/>
      <c r="K27" s="13"/>
      <c r="L27" s="19"/>
      <c r="M27" s="65"/>
      <c r="N27" s="66"/>
    </row>
    <row r="28" spans="2:14" ht="18" customHeight="1" x14ac:dyDescent="0.2">
      <c r="B28" s="8"/>
      <c r="C28" s="85"/>
      <c r="D28" s="86"/>
      <c r="E28" s="85"/>
      <c r="F28" s="86"/>
      <c r="G28" s="85"/>
      <c r="H28" s="86"/>
      <c r="I28" s="85"/>
      <c r="J28" s="94"/>
      <c r="K28" s="69" t="s">
        <v>16</v>
      </c>
      <c r="L28" s="16"/>
      <c r="M28" s="67"/>
      <c r="N28" s="68"/>
    </row>
    <row r="29" spans="2:14" ht="18" customHeight="1" x14ac:dyDescent="0.2">
      <c r="B29" s="6"/>
      <c r="C29" s="83"/>
      <c r="D29" s="84"/>
      <c r="E29" s="83"/>
      <c r="F29" s="84"/>
      <c r="G29" s="83"/>
      <c r="H29" s="84"/>
      <c r="I29" s="83"/>
      <c r="J29" s="99"/>
      <c r="K29" s="70"/>
      <c r="L29" s="17"/>
      <c r="M29" s="63"/>
      <c r="N29" s="64"/>
    </row>
    <row r="30" spans="2:14" ht="18" customHeight="1" x14ac:dyDescent="0.2">
      <c r="B30" s="8"/>
      <c r="C30" s="85"/>
      <c r="D30" s="86"/>
      <c r="E30" s="85"/>
      <c r="F30" s="86"/>
      <c r="G30" s="85"/>
      <c r="H30" s="86"/>
      <c r="I30" s="108"/>
      <c r="J30" s="109"/>
      <c r="K30" s="70"/>
      <c r="L30" s="17"/>
      <c r="M30" s="63"/>
      <c r="N30" s="64"/>
    </row>
    <row r="31" spans="2:14" ht="18" customHeight="1" x14ac:dyDescent="0.2">
      <c r="B31" s="6"/>
      <c r="C31" s="83"/>
      <c r="D31" s="84"/>
      <c r="E31" s="83"/>
      <c r="F31" s="84"/>
      <c r="G31" s="83"/>
      <c r="H31" s="84"/>
      <c r="I31" s="83"/>
      <c r="J31" s="99"/>
      <c r="K31" s="14"/>
      <c r="L31" s="17"/>
      <c r="M31" s="63"/>
      <c r="N31" s="64"/>
    </row>
    <row r="32" spans="2:14" ht="18" customHeight="1" x14ac:dyDescent="0.2">
      <c r="B32" s="8"/>
      <c r="C32" s="85"/>
      <c r="D32" s="86"/>
      <c r="E32" s="85"/>
      <c r="F32" s="86"/>
      <c r="G32" s="85"/>
      <c r="H32" s="86"/>
      <c r="I32" s="95"/>
      <c r="J32" s="96"/>
      <c r="K32" s="14"/>
      <c r="L32" s="17"/>
      <c r="M32" s="63"/>
      <c r="N32" s="64"/>
    </row>
    <row r="33" spans="2:14" ht="18" customHeight="1" x14ac:dyDescent="0.2">
      <c r="B33" s="7"/>
      <c r="C33" s="89"/>
      <c r="D33" s="90"/>
      <c r="E33" s="89"/>
      <c r="F33" s="90"/>
      <c r="G33" s="89"/>
      <c r="H33" s="90"/>
      <c r="I33" s="110"/>
      <c r="J33" s="111"/>
      <c r="K33" s="15"/>
      <c r="L33" s="20"/>
      <c r="M33" s="106"/>
      <c r="N33" s="107"/>
    </row>
  </sheetData>
  <mergeCells count="122">
    <mergeCell ref="C33:D33"/>
    <mergeCell ref="E33:F33"/>
    <mergeCell ref="G33:H33"/>
    <mergeCell ref="I33:J33"/>
    <mergeCell ref="M33:N33"/>
    <mergeCell ref="C31:D31"/>
    <mergeCell ref="E31:F31"/>
    <mergeCell ref="G31:H31"/>
    <mergeCell ref="I31:J31"/>
    <mergeCell ref="M31:N31"/>
    <mergeCell ref="C32:D32"/>
    <mergeCell ref="E32:F32"/>
    <mergeCell ref="G32:H32"/>
    <mergeCell ref="I32:J32"/>
    <mergeCell ref="M32:N32"/>
    <mergeCell ref="M29:N29"/>
    <mergeCell ref="C30:D30"/>
    <mergeCell ref="E30:F30"/>
    <mergeCell ref="G30:H30"/>
    <mergeCell ref="I30:J30"/>
    <mergeCell ref="M30:N30"/>
    <mergeCell ref="C28:D28"/>
    <mergeCell ref="E28:F28"/>
    <mergeCell ref="G28:H28"/>
    <mergeCell ref="I28:J28"/>
    <mergeCell ref="K28:K30"/>
    <mergeCell ref="M28:N28"/>
    <mergeCell ref="C29:D29"/>
    <mergeCell ref="E29:F29"/>
    <mergeCell ref="G29:H29"/>
    <mergeCell ref="I29:J29"/>
    <mergeCell ref="I25:J25"/>
    <mergeCell ref="M25:N25"/>
    <mergeCell ref="C26:D26"/>
    <mergeCell ref="E26:F26"/>
    <mergeCell ref="G26:H26"/>
    <mergeCell ref="I26:J26"/>
    <mergeCell ref="M26:N26"/>
    <mergeCell ref="C27:D27"/>
    <mergeCell ref="E27:F27"/>
    <mergeCell ref="G27:H27"/>
    <mergeCell ref="I27:J27"/>
    <mergeCell ref="M27:N27"/>
    <mergeCell ref="M22:N22"/>
    <mergeCell ref="C23:D23"/>
    <mergeCell ref="E23:F23"/>
    <mergeCell ref="G23:H23"/>
    <mergeCell ref="I23:J23"/>
    <mergeCell ref="M23:N23"/>
    <mergeCell ref="C21:D21"/>
    <mergeCell ref="E21:F21"/>
    <mergeCell ref="G21:H21"/>
    <mergeCell ref="I21:J21"/>
    <mergeCell ref="M21:N21"/>
    <mergeCell ref="C22:D22"/>
    <mergeCell ref="E22:F22"/>
    <mergeCell ref="G22:H22"/>
    <mergeCell ref="I22:J22"/>
    <mergeCell ref="K22:K25"/>
    <mergeCell ref="C24:D24"/>
    <mergeCell ref="E24:F24"/>
    <mergeCell ref="G24:H24"/>
    <mergeCell ref="I24:J24"/>
    <mergeCell ref="M24:N24"/>
    <mergeCell ref="C25:D25"/>
    <mergeCell ref="E25:F25"/>
    <mergeCell ref="G25:H25"/>
    <mergeCell ref="C19:D19"/>
    <mergeCell ref="E19:F19"/>
    <mergeCell ref="G19:H19"/>
    <mergeCell ref="I19:J19"/>
    <mergeCell ref="M19:N19"/>
    <mergeCell ref="C20:D20"/>
    <mergeCell ref="E20:F20"/>
    <mergeCell ref="G20:H20"/>
    <mergeCell ref="I20:J20"/>
    <mergeCell ref="M20:N20"/>
    <mergeCell ref="M17:N17"/>
    <mergeCell ref="C18:D18"/>
    <mergeCell ref="E18:F18"/>
    <mergeCell ref="G18:H18"/>
    <mergeCell ref="I18:J18"/>
    <mergeCell ref="M18:N18"/>
    <mergeCell ref="C16:D16"/>
    <mergeCell ref="E16:F16"/>
    <mergeCell ref="G16:H16"/>
    <mergeCell ref="I16:J16"/>
    <mergeCell ref="K16:K18"/>
    <mergeCell ref="M16:N16"/>
    <mergeCell ref="C17:D17"/>
    <mergeCell ref="E17:F17"/>
    <mergeCell ref="G17:H17"/>
    <mergeCell ref="I17:J17"/>
    <mergeCell ref="C14:D14"/>
    <mergeCell ref="E14:F14"/>
    <mergeCell ref="G14:H14"/>
    <mergeCell ref="I14:J14"/>
    <mergeCell ref="M14:N14"/>
    <mergeCell ref="C15:D15"/>
    <mergeCell ref="E15:F15"/>
    <mergeCell ref="G15:H15"/>
    <mergeCell ref="I15:J15"/>
    <mergeCell ref="M15:N15"/>
    <mergeCell ref="M10:N10"/>
    <mergeCell ref="B11:J12"/>
    <mergeCell ref="M11:N11"/>
    <mergeCell ref="M12:N12"/>
    <mergeCell ref="C13:D13"/>
    <mergeCell ref="E13:F13"/>
    <mergeCell ref="G13:H13"/>
    <mergeCell ref="I13:J13"/>
    <mergeCell ref="M13:N13"/>
    <mergeCell ref="B2:B10"/>
    <mergeCell ref="K2:M3"/>
    <mergeCell ref="K4:K6"/>
    <mergeCell ref="M4:N4"/>
    <mergeCell ref="M5:N5"/>
    <mergeCell ref="M6:N6"/>
    <mergeCell ref="M7:N7"/>
    <mergeCell ref="M8:N8"/>
    <mergeCell ref="M9:N9"/>
    <mergeCell ref="K10:K12"/>
  </mergeCells>
  <conditionalFormatting sqref="C4:H4">
    <cfRule type="expression" dxfId="41" priority="3" stopIfTrue="1">
      <formula>DAY(C4)&gt;8</formula>
    </cfRule>
  </conditionalFormatting>
  <conditionalFormatting sqref="C8:I10">
    <cfRule type="expression" dxfId="40" priority="2" stopIfTrue="1">
      <formula>AND(DAY(C8)&gt;=1,DAY(C8)&lt;=15)</formula>
    </cfRule>
  </conditionalFormatting>
  <conditionalFormatting sqref="C4:I9">
    <cfRule type="expression" dxfId="39" priority="4">
      <formula>VLOOKUP(DAY(C4),DíasDeTareas,1,FALSE)=DAY(C4)</formula>
    </cfRule>
  </conditionalFormatting>
  <conditionalFormatting sqref="B14:J33">
    <cfRule type="expression" dxfId="38" priority="1">
      <formula>B14&lt;&gt;""</formula>
    </cfRule>
  </conditionalFormatting>
  <printOptions horizontalCentered="1"/>
  <pageMargins left="0.5" right="0.5" top="0.5" bottom="0.5" header="0.3" footer="0.3"/>
  <pageSetup scale="6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AO33"/>
  <sheetViews>
    <sheetView showGridLines="0" topLeftCell="A19" zoomScaleNormal="100" zoomScalePageLayoutView="84" workbookViewId="0">
      <selection activeCell="B14" sqref="B14:J31"/>
    </sheetView>
  </sheetViews>
  <sheetFormatPr baseColWidth="10" defaultColWidth="8.7109375" defaultRowHeight="16.5" customHeight="1" x14ac:dyDescent="0.2"/>
  <cols>
    <col min="1" max="1" width="2.28515625" style="1" customWidth="1"/>
    <col min="2" max="2" width="12.7109375" style="1" customWidth="1"/>
    <col min="3" max="10" width="6.7109375" style="1" customWidth="1"/>
    <col min="11" max="11" width="7.28515625" style="1" customWidth="1"/>
    <col min="12" max="12" width="3.85546875" customWidth="1"/>
    <col min="13" max="13" width="51.42578125" style="1" customWidth="1"/>
    <col min="14" max="14" width="10.7109375" style="1" customWidth="1"/>
    <col min="15" max="15" width="2.28515625" customWidth="1"/>
    <col min="16" max="22" width="8.85546875" customWidth="1"/>
    <col min="42" max="16384" width="8.7109375" style="1"/>
  </cols>
  <sheetData>
    <row r="1" spans="1:14" ht="11.25" customHeight="1" x14ac:dyDescent="0.2"/>
    <row r="2" spans="1:14" ht="18" customHeight="1" x14ac:dyDescent="0.2">
      <c r="A2" s="4"/>
      <c r="B2" s="100" t="s">
        <v>24</v>
      </c>
      <c r="C2" s="21"/>
      <c r="D2" s="21"/>
      <c r="E2" s="21"/>
      <c r="F2" s="21"/>
      <c r="G2" s="21"/>
      <c r="H2" s="21"/>
      <c r="I2" s="21"/>
      <c r="J2" s="22"/>
      <c r="K2" s="74" t="s">
        <v>3</v>
      </c>
      <c r="L2" s="75">
        <v>2013</v>
      </c>
      <c r="M2" s="75"/>
      <c r="N2" s="25"/>
    </row>
    <row r="3" spans="1:14" ht="21" customHeight="1" x14ac:dyDescent="0.2">
      <c r="A3" s="4"/>
      <c r="B3" s="101"/>
      <c r="C3" s="2" t="s">
        <v>5</v>
      </c>
      <c r="D3" s="2" t="s">
        <v>1</v>
      </c>
      <c r="E3" s="2" t="s">
        <v>6</v>
      </c>
      <c r="F3" s="2" t="s">
        <v>7</v>
      </c>
      <c r="G3" s="2" t="s">
        <v>8</v>
      </c>
      <c r="H3" s="2" t="s">
        <v>0</v>
      </c>
      <c r="I3" s="2" t="s">
        <v>9</v>
      </c>
      <c r="J3" s="5"/>
      <c r="K3" s="76"/>
      <c r="L3" s="77"/>
      <c r="M3" s="77"/>
      <c r="N3" s="26"/>
    </row>
    <row r="4" spans="1:14" ht="18" customHeight="1" x14ac:dyDescent="0.2">
      <c r="A4" s="4"/>
      <c r="B4" s="101"/>
      <c r="C4" s="10">
        <f>IF(DAY(AbrDom1)=1,AbrDom1-6,AbrDom1+1)</f>
        <v>43185</v>
      </c>
      <c r="D4" s="10">
        <f>IF(DAY(AbrDom1)=1,AbrDom1-5,AbrDom1+2)</f>
        <v>43186</v>
      </c>
      <c r="E4" s="10">
        <f>IF(DAY(AbrDom1)=1,AbrDom1-4,AbrDom1+3)</f>
        <v>43187</v>
      </c>
      <c r="F4" s="10">
        <f>IF(DAY(AbrDom1)=1,AbrDom1-3,AbrDom1+4)</f>
        <v>43188</v>
      </c>
      <c r="G4" s="10">
        <f>IF(DAY(AbrDom1)=1,AbrDom1-2,AbrDom1+5)</f>
        <v>43189</v>
      </c>
      <c r="H4" s="10">
        <f>IF(DAY(AbrDom1)=1,AbrDom1-1,AbrDom1+6)</f>
        <v>43190</v>
      </c>
      <c r="I4" s="10">
        <f>IF(DAY(AbrDom1)=1,AbrDom1,AbrDom1+7)</f>
        <v>43191</v>
      </c>
      <c r="J4" s="5"/>
      <c r="K4" s="78" t="s">
        <v>12</v>
      </c>
      <c r="L4" s="16"/>
      <c r="M4" s="79"/>
      <c r="N4" s="80"/>
    </row>
    <row r="5" spans="1:14" ht="18" customHeight="1" x14ac:dyDescent="0.2">
      <c r="A5" s="4"/>
      <c r="B5" s="101"/>
      <c r="C5" s="10">
        <f>IF(DAY(AbrDom1)=1,AbrDom1+1,AbrDom1+8)</f>
        <v>43192</v>
      </c>
      <c r="D5" s="10">
        <f>IF(DAY(AbrDom1)=1,AbrDom1+2,AbrDom1+9)</f>
        <v>43193</v>
      </c>
      <c r="E5" s="10">
        <f>IF(DAY(AbrDom1)=1,AbrDom1+3,AbrDom1+10)</f>
        <v>43194</v>
      </c>
      <c r="F5" s="10">
        <f>IF(DAY(AbrDom1)=1,AbrDom1+4,AbrDom1+11)</f>
        <v>43195</v>
      </c>
      <c r="G5" s="10">
        <f>IF(DAY(AbrDom1)=1,AbrDom1+5,AbrDom1+12)</f>
        <v>43196</v>
      </c>
      <c r="H5" s="10">
        <f>IF(DAY(AbrDom1)=1,AbrDom1+6,AbrDom1+13)</f>
        <v>43197</v>
      </c>
      <c r="I5" s="10">
        <f>IF(DAY(AbrDom1)=1,AbrDom1+7,AbrDom1+14)</f>
        <v>43198</v>
      </c>
      <c r="J5" s="5"/>
      <c r="K5" s="70"/>
      <c r="L5" s="17"/>
      <c r="M5" s="63"/>
      <c r="N5" s="64"/>
    </row>
    <row r="6" spans="1:14" ht="18" customHeight="1" x14ac:dyDescent="0.2">
      <c r="A6" s="4"/>
      <c r="B6" s="101"/>
      <c r="C6" s="10">
        <f>IF(DAY(AbrDom1)=1,AbrDom1+8,AbrDom1+15)</f>
        <v>43199</v>
      </c>
      <c r="D6" s="10">
        <f>IF(DAY(AbrDom1)=1,AbrDom1+9,AbrDom1+16)</f>
        <v>43200</v>
      </c>
      <c r="E6" s="10">
        <f>IF(DAY(AbrDom1)=1,AbrDom1+10,AbrDom1+17)</f>
        <v>43201</v>
      </c>
      <c r="F6" s="10">
        <f>IF(DAY(AbrDom1)=1,AbrDom1+11,AbrDom1+18)</f>
        <v>43202</v>
      </c>
      <c r="G6" s="10">
        <f>IF(DAY(AbrDom1)=1,AbrDom1+12,AbrDom1+19)</f>
        <v>43203</v>
      </c>
      <c r="H6" s="10">
        <f>IF(DAY(AbrDom1)=1,AbrDom1+13,AbrDom1+20)</f>
        <v>43204</v>
      </c>
      <c r="I6" s="10">
        <f>IF(DAY(AbrDom1)=1,AbrDom1+14,AbrDom1+21)</f>
        <v>43205</v>
      </c>
      <c r="J6" s="5"/>
      <c r="K6" s="70"/>
      <c r="L6" s="17"/>
      <c r="M6" s="63"/>
      <c r="N6" s="64"/>
    </row>
    <row r="7" spans="1:14" ht="18" customHeight="1" x14ac:dyDescent="0.2">
      <c r="A7" s="4"/>
      <c r="B7" s="101"/>
      <c r="C7" s="10">
        <f>IF(DAY(AbrDom1)=1,AbrDom1+15,AbrDom1+22)</f>
        <v>43206</v>
      </c>
      <c r="D7" s="10">
        <f>IF(DAY(AbrDom1)=1,AbrDom1+16,AbrDom1+23)</f>
        <v>43207</v>
      </c>
      <c r="E7" s="10">
        <f>IF(DAY(AbrDom1)=1,AbrDom1+17,AbrDom1+24)</f>
        <v>43208</v>
      </c>
      <c r="F7" s="10">
        <f>IF(DAY(AbrDom1)=1,AbrDom1+18,AbrDom1+25)</f>
        <v>43209</v>
      </c>
      <c r="G7" s="10">
        <f>IF(DAY(AbrDom1)=1,AbrDom1+19,AbrDom1+26)</f>
        <v>43210</v>
      </c>
      <c r="H7" s="10">
        <f>IF(DAY(AbrDom1)=1,AbrDom1+20,AbrDom1+27)</f>
        <v>43211</v>
      </c>
      <c r="I7" s="10">
        <f>IF(DAY(AbrDom1)=1,AbrDom1+21,AbrDom1+28)</f>
        <v>43212</v>
      </c>
      <c r="J7" s="5"/>
      <c r="K7" s="11"/>
      <c r="L7" s="17"/>
      <c r="M7" s="63"/>
      <c r="N7" s="64"/>
    </row>
    <row r="8" spans="1:14" ht="18.75" customHeight="1" x14ac:dyDescent="0.2">
      <c r="A8" s="4"/>
      <c r="B8" s="101"/>
      <c r="C8" s="10">
        <f>IF(DAY(AbrDom1)=1,AbrDom1+22,AbrDom1+29)</f>
        <v>43213</v>
      </c>
      <c r="D8" s="10">
        <f>IF(DAY(AbrDom1)=1,AbrDom1+23,AbrDom1+30)</f>
        <v>43214</v>
      </c>
      <c r="E8" s="10">
        <f>IF(DAY(AbrDom1)=1,AbrDom1+24,AbrDom1+31)</f>
        <v>43215</v>
      </c>
      <c r="F8" s="10">
        <f>IF(DAY(AbrDom1)=1,AbrDom1+25,AbrDom1+32)</f>
        <v>43216</v>
      </c>
      <c r="G8" s="10">
        <f>IF(DAY(AbrDom1)=1,AbrDom1+26,AbrDom1+33)</f>
        <v>43217</v>
      </c>
      <c r="H8" s="10">
        <f>IF(DAY(AbrDom1)=1,AbrDom1+27,AbrDom1+34)</f>
        <v>43218</v>
      </c>
      <c r="I8" s="10">
        <f>IF(DAY(AbrDom1)=1,AbrDom1+28,AbrDom1+35)</f>
        <v>43219</v>
      </c>
      <c r="J8" s="5"/>
      <c r="K8" s="11"/>
      <c r="L8" s="17"/>
      <c r="M8" s="63"/>
      <c r="N8" s="64"/>
    </row>
    <row r="9" spans="1:14" ht="18" customHeight="1" x14ac:dyDescent="0.2">
      <c r="A9" s="4"/>
      <c r="B9" s="101"/>
      <c r="C9" s="10">
        <f>IF(DAY(AbrDom1)=1,AbrDom1+29,AbrDom1+36)</f>
        <v>43220</v>
      </c>
      <c r="D9" s="10">
        <f>IF(DAY(AbrDom1)=1,AbrDom1+30,AbrDom1+37)</f>
        <v>43221</v>
      </c>
      <c r="E9" s="10">
        <f>IF(DAY(AbrDom1)=1,AbrDom1+31,AbrDom1+38)</f>
        <v>43222</v>
      </c>
      <c r="F9" s="10">
        <f>IF(DAY(AbrDom1)=1,AbrDom1+32,AbrDom1+39)</f>
        <v>43223</v>
      </c>
      <c r="G9" s="10">
        <f>IF(DAY(AbrDom1)=1,AbrDom1+33,AbrDom1+40)</f>
        <v>43224</v>
      </c>
      <c r="H9" s="10">
        <f>IF(DAY(AbrDom1)=1,AbrDom1+34,AbrDom1+41)</f>
        <v>43225</v>
      </c>
      <c r="I9" s="10">
        <f>IF(DAY(AbrDom1)=1,AbrDom1+35,AbrDom1+42)</f>
        <v>43226</v>
      </c>
      <c r="J9" s="5"/>
      <c r="K9" s="12"/>
      <c r="L9" s="18"/>
      <c r="M9" s="65"/>
      <c r="N9" s="66"/>
    </row>
    <row r="10" spans="1:14" ht="18" customHeight="1" x14ac:dyDescent="0.2">
      <c r="A10" s="4"/>
      <c r="B10" s="102"/>
      <c r="C10" s="23"/>
      <c r="D10" s="23"/>
      <c r="E10" s="23"/>
      <c r="F10" s="23"/>
      <c r="G10" s="23"/>
      <c r="H10" s="23"/>
      <c r="I10" s="23"/>
      <c r="J10" s="24"/>
      <c r="K10" s="69" t="s">
        <v>13</v>
      </c>
      <c r="L10" s="16"/>
      <c r="M10" s="67"/>
      <c r="N10" s="68"/>
    </row>
    <row r="11" spans="1:14" ht="18" customHeight="1" x14ac:dyDescent="0.2">
      <c r="A11" s="4"/>
      <c r="B11" s="103" t="s">
        <v>11</v>
      </c>
      <c r="C11" s="104"/>
      <c r="D11" s="104"/>
      <c r="E11" s="104"/>
      <c r="F11" s="104"/>
      <c r="G11" s="104"/>
      <c r="H11" s="104"/>
      <c r="I11" s="104"/>
      <c r="J11" s="105"/>
      <c r="K11" s="70"/>
      <c r="L11" s="17"/>
      <c r="M11" s="63"/>
      <c r="N11" s="64"/>
    </row>
    <row r="12" spans="1:14" ht="18" customHeight="1" x14ac:dyDescent="0.2">
      <c r="A12" s="4"/>
      <c r="B12" s="103"/>
      <c r="C12" s="104"/>
      <c r="D12" s="104"/>
      <c r="E12" s="104"/>
      <c r="F12" s="104"/>
      <c r="G12" s="104"/>
      <c r="H12" s="104"/>
      <c r="I12" s="104"/>
      <c r="J12" s="105"/>
      <c r="K12" s="70"/>
      <c r="L12" s="17"/>
      <c r="M12" s="63"/>
      <c r="N12" s="64"/>
    </row>
    <row r="13" spans="1:14" ht="18" customHeight="1" x14ac:dyDescent="0.2">
      <c r="B13" s="3" t="s">
        <v>12</v>
      </c>
      <c r="C13" s="71" t="s">
        <v>13</v>
      </c>
      <c r="D13" s="73"/>
      <c r="E13" s="71" t="s">
        <v>14</v>
      </c>
      <c r="F13" s="73"/>
      <c r="G13" s="71" t="s">
        <v>15</v>
      </c>
      <c r="H13" s="73"/>
      <c r="I13" s="71" t="s">
        <v>16</v>
      </c>
      <c r="J13" s="72"/>
      <c r="K13" s="11"/>
      <c r="L13" s="17"/>
      <c r="M13" s="63"/>
      <c r="N13" s="64"/>
    </row>
    <row r="14" spans="1:14" ht="18" customHeight="1" x14ac:dyDescent="0.2">
      <c r="B14" s="8"/>
      <c r="C14" s="85"/>
      <c r="D14" s="86"/>
      <c r="E14" s="85"/>
      <c r="F14" s="86"/>
      <c r="G14" s="85"/>
      <c r="H14" s="86"/>
      <c r="I14" s="85"/>
      <c r="J14" s="94"/>
      <c r="K14" s="11"/>
      <c r="L14" s="17"/>
      <c r="M14" s="63"/>
      <c r="N14" s="64"/>
    </row>
    <row r="15" spans="1:14" ht="18" customHeight="1" x14ac:dyDescent="0.2">
      <c r="B15" s="6"/>
      <c r="C15" s="83"/>
      <c r="D15" s="84"/>
      <c r="E15" s="83"/>
      <c r="F15" s="84"/>
      <c r="G15" s="83"/>
      <c r="H15" s="84"/>
      <c r="I15" s="91"/>
      <c r="J15" s="92"/>
      <c r="K15" s="13"/>
      <c r="L15" s="19"/>
      <c r="M15" s="65"/>
      <c r="N15" s="66"/>
    </row>
    <row r="16" spans="1:14" ht="18" customHeight="1" x14ac:dyDescent="0.2">
      <c r="B16" s="8"/>
      <c r="C16" s="85"/>
      <c r="D16" s="86"/>
      <c r="E16" s="85"/>
      <c r="F16" s="86"/>
      <c r="G16" s="85"/>
      <c r="H16" s="86"/>
      <c r="I16" s="95"/>
      <c r="J16" s="96"/>
      <c r="K16" s="61" t="s">
        <v>14</v>
      </c>
      <c r="L16" s="16"/>
      <c r="M16" s="67"/>
      <c r="N16" s="68"/>
    </row>
    <row r="17" spans="2:14" ht="18" customHeight="1" x14ac:dyDescent="0.2">
      <c r="B17" s="6"/>
      <c r="C17" s="83"/>
      <c r="D17" s="84"/>
      <c r="E17" s="83"/>
      <c r="F17" s="84"/>
      <c r="G17" s="83"/>
      <c r="H17" s="84"/>
      <c r="I17" s="91"/>
      <c r="J17" s="92"/>
      <c r="K17" s="62"/>
      <c r="L17" s="17"/>
      <c r="M17" s="63"/>
      <c r="N17" s="64"/>
    </row>
    <row r="18" spans="2:14" ht="18" customHeight="1" x14ac:dyDescent="0.2">
      <c r="B18" s="9"/>
      <c r="C18" s="87"/>
      <c r="D18" s="88"/>
      <c r="E18" s="87"/>
      <c r="F18" s="88"/>
      <c r="G18" s="87"/>
      <c r="H18" s="88"/>
      <c r="I18" s="87"/>
      <c r="J18" s="93"/>
      <c r="K18" s="62"/>
      <c r="L18" s="17"/>
      <c r="M18" s="63"/>
      <c r="N18" s="64"/>
    </row>
    <row r="19" spans="2:14" ht="18" customHeight="1" x14ac:dyDescent="0.2">
      <c r="B19" s="6"/>
      <c r="C19" s="83"/>
      <c r="D19" s="84"/>
      <c r="E19" s="83"/>
      <c r="F19" s="84"/>
      <c r="G19" s="83"/>
      <c r="H19" s="84"/>
      <c r="I19" s="91"/>
      <c r="J19" s="92"/>
      <c r="K19" s="11"/>
      <c r="L19" s="17"/>
      <c r="M19" s="63"/>
      <c r="N19" s="64"/>
    </row>
    <row r="20" spans="2:14" ht="18" customHeight="1" x14ac:dyDescent="0.2">
      <c r="B20" s="8"/>
      <c r="C20" s="85"/>
      <c r="D20" s="86"/>
      <c r="E20" s="85"/>
      <c r="F20" s="86"/>
      <c r="G20" s="85"/>
      <c r="H20" s="86"/>
      <c r="I20" s="85"/>
      <c r="J20" s="94"/>
      <c r="K20" s="11"/>
      <c r="L20" s="17"/>
      <c r="M20" s="63"/>
      <c r="N20" s="64"/>
    </row>
    <row r="21" spans="2:14" ht="18" customHeight="1" x14ac:dyDescent="0.2">
      <c r="B21" s="6"/>
      <c r="C21" s="83"/>
      <c r="D21" s="84"/>
      <c r="E21" s="83"/>
      <c r="F21" s="84"/>
      <c r="G21" s="83"/>
      <c r="H21" s="84"/>
      <c r="I21" s="97"/>
      <c r="J21" s="98"/>
      <c r="K21" s="13"/>
      <c r="L21" s="19"/>
      <c r="M21" s="65"/>
      <c r="N21" s="66"/>
    </row>
    <row r="22" spans="2:14" ht="18" customHeight="1" x14ac:dyDescent="0.2">
      <c r="B22" s="8"/>
      <c r="C22" s="85"/>
      <c r="D22" s="86"/>
      <c r="E22" s="85"/>
      <c r="F22" s="86"/>
      <c r="G22" s="85"/>
      <c r="H22" s="86"/>
      <c r="I22" s="85"/>
      <c r="J22" s="94"/>
      <c r="K22" s="61" t="s">
        <v>15</v>
      </c>
      <c r="L22" s="16"/>
      <c r="M22" s="67"/>
      <c r="N22" s="68"/>
    </row>
    <row r="23" spans="2:14" ht="18" customHeight="1" x14ac:dyDescent="0.2">
      <c r="B23" s="6"/>
      <c r="C23" s="83"/>
      <c r="D23" s="84"/>
      <c r="E23" s="83"/>
      <c r="F23" s="84"/>
      <c r="G23" s="83"/>
      <c r="H23" s="84"/>
      <c r="I23" s="91"/>
      <c r="J23" s="92"/>
      <c r="K23" s="62"/>
      <c r="L23" s="17"/>
      <c r="M23" s="63"/>
      <c r="N23" s="64"/>
    </row>
    <row r="24" spans="2:14" ht="18" customHeight="1" x14ac:dyDescent="0.2">
      <c r="B24" s="8"/>
      <c r="C24" s="85"/>
      <c r="D24" s="86"/>
      <c r="E24" s="85"/>
      <c r="F24" s="86"/>
      <c r="G24" s="85"/>
      <c r="H24" s="86"/>
      <c r="I24" s="85"/>
      <c r="J24" s="94"/>
      <c r="K24" s="62"/>
      <c r="L24" s="17"/>
      <c r="M24" s="63"/>
      <c r="N24" s="64"/>
    </row>
    <row r="25" spans="2:14" ht="18" customHeight="1" x14ac:dyDescent="0.2">
      <c r="B25" s="6"/>
      <c r="C25" s="83"/>
      <c r="D25" s="84"/>
      <c r="E25" s="83"/>
      <c r="F25" s="84"/>
      <c r="G25" s="83"/>
      <c r="H25" s="84"/>
      <c r="I25" s="91"/>
      <c r="J25" s="92"/>
      <c r="K25" s="62"/>
      <c r="L25" s="17"/>
      <c r="M25" s="63"/>
      <c r="N25" s="64"/>
    </row>
    <row r="26" spans="2:14" ht="18" customHeight="1" x14ac:dyDescent="0.2">
      <c r="B26" s="8"/>
      <c r="C26" s="85"/>
      <c r="D26" s="86"/>
      <c r="E26" s="85"/>
      <c r="F26" s="86"/>
      <c r="G26" s="85"/>
      <c r="H26" s="86"/>
      <c r="I26" s="85"/>
      <c r="J26" s="94"/>
      <c r="K26" s="11"/>
      <c r="L26" s="17"/>
      <c r="M26" s="63"/>
      <c r="N26" s="64"/>
    </row>
    <row r="27" spans="2:14" ht="18" customHeight="1" x14ac:dyDescent="0.2">
      <c r="B27" s="6"/>
      <c r="C27" s="83"/>
      <c r="D27" s="84"/>
      <c r="E27" s="83"/>
      <c r="F27" s="84"/>
      <c r="G27" s="83"/>
      <c r="H27" s="84"/>
      <c r="I27" s="91"/>
      <c r="J27" s="92"/>
      <c r="K27" s="13"/>
      <c r="L27" s="19"/>
      <c r="M27" s="65"/>
      <c r="N27" s="66"/>
    </row>
    <row r="28" spans="2:14" ht="18" customHeight="1" x14ac:dyDescent="0.2">
      <c r="B28" s="8"/>
      <c r="C28" s="85"/>
      <c r="D28" s="86"/>
      <c r="E28" s="85"/>
      <c r="F28" s="86"/>
      <c r="G28" s="85"/>
      <c r="H28" s="86"/>
      <c r="I28" s="85"/>
      <c r="J28" s="94"/>
      <c r="K28" s="69" t="s">
        <v>16</v>
      </c>
      <c r="L28" s="16"/>
      <c r="M28" s="67"/>
      <c r="N28" s="68"/>
    </row>
    <row r="29" spans="2:14" ht="18" customHeight="1" x14ac:dyDescent="0.2">
      <c r="B29" s="6"/>
      <c r="C29" s="83"/>
      <c r="D29" s="84"/>
      <c r="E29" s="83"/>
      <c r="F29" s="84"/>
      <c r="G29" s="83"/>
      <c r="H29" s="84"/>
      <c r="I29" s="83"/>
      <c r="J29" s="99"/>
      <c r="K29" s="70"/>
      <c r="L29" s="17"/>
      <c r="M29" s="63"/>
      <c r="N29" s="64"/>
    </row>
    <row r="30" spans="2:14" ht="18" customHeight="1" x14ac:dyDescent="0.2">
      <c r="B30" s="8"/>
      <c r="C30" s="85"/>
      <c r="D30" s="86"/>
      <c r="E30" s="85"/>
      <c r="F30" s="86"/>
      <c r="G30" s="85"/>
      <c r="H30" s="86"/>
      <c r="I30" s="108"/>
      <c r="J30" s="109"/>
      <c r="K30" s="70"/>
      <c r="L30" s="17"/>
      <c r="M30" s="63"/>
      <c r="N30" s="64"/>
    </row>
    <row r="31" spans="2:14" ht="18" customHeight="1" x14ac:dyDescent="0.2">
      <c r="B31" s="6"/>
      <c r="C31" s="83"/>
      <c r="D31" s="84"/>
      <c r="E31" s="83"/>
      <c r="F31" s="84"/>
      <c r="G31" s="83"/>
      <c r="H31" s="84"/>
      <c r="I31" s="83"/>
      <c r="J31" s="99"/>
      <c r="K31" s="14"/>
      <c r="L31" s="17"/>
      <c r="M31" s="63"/>
      <c r="N31" s="64"/>
    </row>
    <row r="32" spans="2:14" ht="18" customHeight="1" x14ac:dyDescent="0.2">
      <c r="B32" s="8"/>
      <c r="C32" s="85"/>
      <c r="D32" s="86"/>
      <c r="E32" s="85"/>
      <c r="F32" s="86"/>
      <c r="G32" s="85"/>
      <c r="H32" s="86"/>
      <c r="I32" s="95"/>
      <c r="J32" s="96"/>
      <c r="K32" s="14"/>
      <c r="L32" s="17"/>
      <c r="M32" s="63"/>
      <c r="N32" s="64"/>
    </row>
    <row r="33" spans="2:14" ht="18" customHeight="1" x14ac:dyDescent="0.2">
      <c r="B33" s="7"/>
      <c r="C33" s="89"/>
      <c r="D33" s="90"/>
      <c r="E33" s="89"/>
      <c r="F33" s="90"/>
      <c r="G33" s="89"/>
      <c r="H33" s="90"/>
      <c r="I33" s="110"/>
      <c r="J33" s="111"/>
      <c r="K33" s="15"/>
      <c r="L33" s="20"/>
      <c r="M33" s="106"/>
      <c r="N33" s="107"/>
    </row>
  </sheetData>
  <mergeCells count="122">
    <mergeCell ref="C33:D33"/>
    <mergeCell ref="E33:F33"/>
    <mergeCell ref="G33:H33"/>
    <mergeCell ref="I33:J33"/>
    <mergeCell ref="M33:N33"/>
    <mergeCell ref="C31:D31"/>
    <mergeCell ref="E31:F31"/>
    <mergeCell ref="G31:H31"/>
    <mergeCell ref="I31:J31"/>
    <mergeCell ref="M31:N31"/>
    <mergeCell ref="C32:D32"/>
    <mergeCell ref="E32:F32"/>
    <mergeCell ref="G32:H32"/>
    <mergeCell ref="I32:J32"/>
    <mergeCell ref="M32:N32"/>
    <mergeCell ref="M29:N29"/>
    <mergeCell ref="C30:D30"/>
    <mergeCell ref="E30:F30"/>
    <mergeCell ref="G30:H30"/>
    <mergeCell ref="I30:J30"/>
    <mergeCell ref="M30:N30"/>
    <mergeCell ref="C28:D28"/>
    <mergeCell ref="E28:F28"/>
    <mergeCell ref="G28:H28"/>
    <mergeCell ref="I28:J28"/>
    <mergeCell ref="K28:K30"/>
    <mergeCell ref="M28:N28"/>
    <mergeCell ref="C29:D29"/>
    <mergeCell ref="E29:F29"/>
    <mergeCell ref="G29:H29"/>
    <mergeCell ref="I29:J29"/>
    <mergeCell ref="I25:J25"/>
    <mergeCell ref="M25:N25"/>
    <mergeCell ref="C26:D26"/>
    <mergeCell ref="E26:F26"/>
    <mergeCell ref="G26:H26"/>
    <mergeCell ref="I26:J26"/>
    <mergeCell ref="M26:N26"/>
    <mergeCell ref="C27:D27"/>
    <mergeCell ref="E27:F27"/>
    <mergeCell ref="G27:H27"/>
    <mergeCell ref="I27:J27"/>
    <mergeCell ref="M27:N27"/>
    <mergeCell ref="M22:N22"/>
    <mergeCell ref="C23:D23"/>
    <mergeCell ref="E23:F23"/>
    <mergeCell ref="G23:H23"/>
    <mergeCell ref="I23:J23"/>
    <mergeCell ref="M23:N23"/>
    <mergeCell ref="C21:D21"/>
    <mergeCell ref="E21:F21"/>
    <mergeCell ref="G21:H21"/>
    <mergeCell ref="I21:J21"/>
    <mergeCell ref="M21:N21"/>
    <mergeCell ref="C22:D22"/>
    <mergeCell ref="E22:F22"/>
    <mergeCell ref="G22:H22"/>
    <mergeCell ref="I22:J22"/>
    <mergeCell ref="K22:K25"/>
    <mergeCell ref="C24:D24"/>
    <mergeCell ref="E24:F24"/>
    <mergeCell ref="G24:H24"/>
    <mergeCell ref="I24:J24"/>
    <mergeCell ref="M24:N24"/>
    <mergeCell ref="C25:D25"/>
    <mergeCell ref="E25:F25"/>
    <mergeCell ref="G25:H25"/>
    <mergeCell ref="C19:D19"/>
    <mergeCell ref="E19:F19"/>
    <mergeCell ref="G19:H19"/>
    <mergeCell ref="I19:J19"/>
    <mergeCell ref="M19:N19"/>
    <mergeCell ref="C20:D20"/>
    <mergeCell ref="E20:F20"/>
    <mergeCell ref="G20:H20"/>
    <mergeCell ref="I20:J20"/>
    <mergeCell ref="M20:N20"/>
    <mergeCell ref="M17:N17"/>
    <mergeCell ref="C18:D18"/>
    <mergeCell ref="E18:F18"/>
    <mergeCell ref="G18:H18"/>
    <mergeCell ref="I18:J18"/>
    <mergeCell ref="M18:N18"/>
    <mergeCell ref="C16:D16"/>
    <mergeCell ref="E16:F16"/>
    <mergeCell ref="G16:H16"/>
    <mergeCell ref="I16:J16"/>
    <mergeCell ref="K16:K18"/>
    <mergeCell ref="M16:N16"/>
    <mergeCell ref="C17:D17"/>
    <mergeCell ref="E17:F17"/>
    <mergeCell ref="G17:H17"/>
    <mergeCell ref="I17:J17"/>
    <mergeCell ref="C14:D14"/>
    <mergeCell ref="E14:F14"/>
    <mergeCell ref="G14:H14"/>
    <mergeCell ref="I14:J14"/>
    <mergeCell ref="M14:N14"/>
    <mergeCell ref="C15:D15"/>
    <mergeCell ref="E15:F15"/>
    <mergeCell ref="G15:H15"/>
    <mergeCell ref="I15:J15"/>
    <mergeCell ref="M15:N15"/>
    <mergeCell ref="M10:N10"/>
    <mergeCell ref="B11:J12"/>
    <mergeCell ref="M11:N11"/>
    <mergeCell ref="M12:N12"/>
    <mergeCell ref="C13:D13"/>
    <mergeCell ref="E13:F13"/>
    <mergeCell ref="G13:H13"/>
    <mergeCell ref="I13:J13"/>
    <mergeCell ref="M13:N13"/>
    <mergeCell ref="B2:B10"/>
    <mergeCell ref="K2:M3"/>
    <mergeCell ref="K4:K6"/>
    <mergeCell ref="M4:N4"/>
    <mergeCell ref="M5:N5"/>
    <mergeCell ref="M6:N6"/>
    <mergeCell ref="M7:N7"/>
    <mergeCell ref="M8:N8"/>
    <mergeCell ref="M9:N9"/>
    <mergeCell ref="K10:K12"/>
  </mergeCells>
  <conditionalFormatting sqref="C4:H4">
    <cfRule type="expression" dxfId="37" priority="3" stopIfTrue="1">
      <formula>DAY(C4)&gt;8</formula>
    </cfRule>
  </conditionalFormatting>
  <conditionalFormatting sqref="C8:I10">
    <cfRule type="expression" dxfId="36" priority="2" stopIfTrue="1">
      <formula>AND(DAY(C8)&gt;=1,DAY(C8)&lt;=15)</formula>
    </cfRule>
  </conditionalFormatting>
  <conditionalFormatting sqref="C4:I9">
    <cfRule type="expression" dxfId="35" priority="4">
      <formula>VLOOKUP(DAY(C4),DíasDeTareas,1,FALSE)=DAY(C4)</formula>
    </cfRule>
  </conditionalFormatting>
  <conditionalFormatting sqref="B14:J33">
    <cfRule type="expression" dxfId="34" priority="1">
      <formula>B14&lt;&gt;""</formula>
    </cfRule>
  </conditionalFormatting>
  <printOptions horizontalCentered="1"/>
  <pageMargins left="0.5" right="0.5" top="0.5" bottom="0.5" header="0.3" footer="0.3"/>
  <pageSetup scale="63"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AO33"/>
  <sheetViews>
    <sheetView showGridLines="0" topLeftCell="A7" zoomScaleNormal="100" zoomScalePageLayoutView="84" workbookViewId="0">
      <selection activeCell="B15" sqref="B15:J31"/>
    </sheetView>
  </sheetViews>
  <sheetFormatPr baseColWidth="10" defaultColWidth="8.7109375" defaultRowHeight="16.5" customHeight="1" x14ac:dyDescent="0.2"/>
  <cols>
    <col min="1" max="1" width="2.28515625" style="1" customWidth="1"/>
    <col min="2" max="2" width="12.7109375" style="1" customWidth="1"/>
    <col min="3" max="10" width="6.7109375" style="1" customWidth="1"/>
    <col min="11" max="11" width="7.28515625" style="1" customWidth="1"/>
    <col min="12" max="12" width="3.85546875" customWidth="1"/>
    <col min="13" max="13" width="51.42578125" style="1" customWidth="1"/>
    <col min="14" max="14" width="10.7109375" style="1" customWidth="1"/>
    <col min="15" max="15" width="2.28515625" customWidth="1"/>
    <col min="16" max="22" width="8.85546875" customWidth="1"/>
    <col min="42" max="16384" width="8.7109375" style="1"/>
  </cols>
  <sheetData>
    <row r="1" spans="1:14" ht="11.25" customHeight="1" x14ac:dyDescent="0.2"/>
    <row r="2" spans="1:14" ht="18" customHeight="1" x14ac:dyDescent="0.2">
      <c r="A2" s="4"/>
      <c r="B2" s="100" t="s">
        <v>23</v>
      </c>
      <c r="C2" s="21"/>
      <c r="D2" s="21"/>
      <c r="E2" s="21"/>
      <c r="F2" s="21"/>
      <c r="G2" s="21"/>
      <c r="H2" s="21"/>
      <c r="I2" s="21"/>
      <c r="J2" s="22"/>
      <c r="K2" s="74" t="s">
        <v>3</v>
      </c>
      <c r="L2" s="75">
        <v>2013</v>
      </c>
      <c r="M2" s="75"/>
      <c r="N2" s="25"/>
    </row>
    <row r="3" spans="1:14" ht="21" customHeight="1" x14ac:dyDescent="0.2">
      <c r="A3" s="4"/>
      <c r="B3" s="101"/>
      <c r="C3" s="2" t="s">
        <v>5</v>
      </c>
      <c r="D3" s="2" t="s">
        <v>1</v>
      </c>
      <c r="E3" s="2" t="s">
        <v>6</v>
      </c>
      <c r="F3" s="2" t="s">
        <v>7</v>
      </c>
      <c r="G3" s="2" t="s">
        <v>8</v>
      </c>
      <c r="H3" s="2" t="s">
        <v>0</v>
      </c>
      <c r="I3" s="2" t="s">
        <v>9</v>
      </c>
      <c r="J3" s="5"/>
      <c r="K3" s="76"/>
      <c r="L3" s="77"/>
      <c r="M3" s="77"/>
      <c r="N3" s="26"/>
    </row>
    <row r="4" spans="1:14" ht="18" customHeight="1" x14ac:dyDescent="0.2">
      <c r="A4" s="4"/>
      <c r="B4" s="101"/>
      <c r="C4" s="10">
        <f>IF(DAY(MayDom1)=1,MayDom1-6,MayDom1+1)</f>
        <v>43220</v>
      </c>
      <c r="D4" s="10">
        <f>IF(DAY(MayDom1)=1,MayDom1-5,MayDom1+2)</f>
        <v>43221</v>
      </c>
      <c r="E4" s="10">
        <f>IF(DAY(MayDom1)=1,MayDom1-4,MayDom1+3)</f>
        <v>43222</v>
      </c>
      <c r="F4" s="10">
        <f>IF(DAY(MayDom1)=1,MayDom1-3,MayDom1+4)</f>
        <v>43223</v>
      </c>
      <c r="G4" s="10">
        <f>IF(DAY(MayDom1)=1,MayDom1-2,MayDom1+5)</f>
        <v>43224</v>
      </c>
      <c r="H4" s="10">
        <f>IF(DAY(MayDom1)=1,MayDom1-1,MayDom1+6)</f>
        <v>43225</v>
      </c>
      <c r="I4" s="10">
        <f>IF(DAY(MayDom1)=1,MayDom1,MayDom1+7)</f>
        <v>43226</v>
      </c>
      <c r="J4" s="5"/>
      <c r="K4" s="78" t="s">
        <v>12</v>
      </c>
      <c r="L4" s="16"/>
      <c r="M4" s="79"/>
      <c r="N4" s="80"/>
    </row>
    <row r="5" spans="1:14" ht="18" customHeight="1" x14ac:dyDescent="0.2">
      <c r="A5" s="4"/>
      <c r="B5" s="101"/>
      <c r="C5" s="10">
        <f>IF(DAY(MayDom1)=1,MayDom1+1,MayDom1+8)</f>
        <v>43227</v>
      </c>
      <c r="D5" s="10">
        <f>IF(DAY(MayDom1)=1,MayDom1+2,MayDom1+9)</f>
        <v>43228</v>
      </c>
      <c r="E5" s="10">
        <f>IF(DAY(MayDom1)=1,MayDom1+3,MayDom1+10)</f>
        <v>43229</v>
      </c>
      <c r="F5" s="10">
        <f>IF(DAY(MayDom1)=1,MayDom1+4,MayDom1+11)</f>
        <v>43230</v>
      </c>
      <c r="G5" s="10">
        <f>IF(DAY(MayDom1)=1,MayDom1+5,MayDom1+12)</f>
        <v>43231</v>
      </c>
      <c r="H5" s="10">
        <f>IF(DAY(MayDom1)=1,MayDom1+6,MayDom1+13)</f>
        <v>43232</v>
      </c>
      <c r="I5" s="10">
        <f>IF(DAY(MayDom1)=1,MayDom1+7,MayDom1+14)</f>
        <v>43233</v>
      </c>
      <c r="J5" s="5"/>
      <c r="K5" s="70"/>
      <c r="L5" s="17"/>
      <c r="M5" s="63"/>
      <c r="N5" s="64"/>
    </row>
    <row r="6" spans="1:14" ht="18" customHeight="1" x14ac:dyDescent="0.2">
      <c r="A6" s="4"/>
      <c r="B6" s="101"/>
      <c r="C6" s="10">
        <f>IF(DAY(MayDom1)=1,MayDom1+8,MayDom1+15)</f>
        <v>43234</v>
      </c>
      <c r="D6" s="10">
        <f>IF(DAY(MayDom1)=1,MayDom1+9,MayDom1+16)</f>
        <v>43235</v>
      </c>
      <c r="E6" s="10">
        <f>IF(DAY(MayDom1)=1,MayDom1+10,MayDom1+17)</f>
        <v>43236</v>
      </c>
      <c r="F6" s="10">
        <f>IF(DAY(MayDom1)=1,MayDom1+11,MayDom1+18)</f>
        <v>43237</v>
      </c>
      <c r="G6" s="10">
        <f>IF(DAY(MayDom1)=1,MayDom1+12,MayDom1+19)</f>
        <v>43238</v>
      </c>
      <c r="H6" s="10">
        <f>IF(DAY(MayDom1)=1,MayDom1+13,MayDom1+20)</f>
        <v>43239</v>
      </c>
      <c r="I6" s="10">
        <f>IF(DAY(MayDom1)=1,MayDom1+14,MayDom1+21)</f>
        <v>43240</v>
      </c>
      <c r="J6" s="5"/>
      <c r="K6" s="70"/>
      <c r="L6" s="17"/>
      <c r="M6" s="63"/>
      <c r="N6" s="64"/>
    </row>
    <row r="7" spans="1:14" ht="18" customHeight="1" x14ac:dyDescent="0.2">
      <c r="A7" s="4"/>
      <c r="B7" s="101"/>
      <c r="C7" s="10">
        <f>IF(DAY(MayDom1)=1,MayDom1+15,MayDom1+22)</f>
        <v>43241</v>
      </c>
      <c r="D7" s="10">
        <f>IF(DAY(MayDom1)=1,MayDom1+16,MayDom1+23)</f>
        <v>43242</v>
      </c>
      <c r="E7" s="10">
        <f>IF(DAY(MayDom1)=1,MayDom1+17,MayDom1+24)</f>
        <v>43243</v>
      </c>
      <c r="F7" s="10">
        <f>IF(DAY(MayDom1)=1,MayDom1+18,MayDom1+25)</f>
        <v>43244</v>
      </c>
      <c r="G7" s="10">
        <f>IF(DAY(MayDom1)=1,MayDom1+19,MayDom1+26)</f>
        <v>43245</v>
      </c>
      <c r="H7" s="10">
        <f>IF(DAY(MayDom1)=1,MayDom1+20,MayDom1+27)</f>
        <v>43246</v>
      </c>
      <c r="I7" s="10">
        <f>IF(DAY(MayDom1)=1,MayDom1+21,MayDom1+28)</f>
        <v>43247</v>
      </c>
      <c r="J7" s="5"/>
      <c r="K7" s="11"/>
      <c r="L7" s="17"/>
      <c r="M7" s="63"/>
      <c r="N7" s="64"/>
    </row>
    <row r="8" spans="1:14" ht="18.75" customHeight="1" x14ac:dyDescent="0.2">
      <c r="A8" s="4"/>
      <c r="B8" s="101"/>
      <c r="C8" s="10">
        <f>IF(DAY(MayDom1)=1,MayDom1+22,MayDom1+29)</f>
        <v>43248</v>
      </c>
      <c r="D8" s="10">
        <f>IF(DAY(MayDom1)=1,MayDom1+23,MayDom1+30)</f>
        <v>43249</v>
      </c>
      <c r="E8" s="10">
        <f>IF(DAY(MayDom1)=1,MayDom1+24,MayDom1+31)</f>
        <v>43250</v>
      </c>
      <c r="F8" s="10">
        <f>IF(DAY(MayDom1)=1,MayDom1+25,MayDom1+32)</f>
        <v>43251</v>
      </c>
      <c r="G8" s="10">
        <f>IF(DAY(MayDom1)=1,MayDom1+26,MayDom1+33)</f>
        <v>43252</v>
      </c>
      <c r="H8" s="10">
        <f>IF(DAY(MayDom1)=1,MayDom1+27,MayDom1+34)</f>
        <v>43253</v>
      </c>
      <c r="I8" s="10">
        <f>IF(DAY(MayDom1)=1,MayDom1+28,MayDom1+35)</f>
        <v>43254</v>
      </c>
      <c r="J8" s="5"/>
      <c r="K8" s="11"/>
      <c r="L8" s="17"/>
      <c r="M8" s="63"/>
      <c r="N8" s="64"/>
    </row>
    <row r="9" spans="1:14" ht="18" customHeight="1" x14ac:dyDescent="0.2">
      <c r="A9" s="4"/>
      <c r="B9" s="101"/>
      <c r="C9" s="10">
        <f>IF(DAY(MayDom1)=1,MayDom1+29,MayDom1+36)</f>
        <v>43255</v>
      </c>
      <c r="D9" s="10">
        <f>IF(DAY(MayDom1)=1,MayDom1+30,MayDom1+37)</f>
        <v>43256</v>
      </c>
      <c r="E9" s="10">
        <f>IF(DAY(MayDom1)=1,MayDom1+31,MayDom1+38)</f>
        <v>43257</v>
      </c>
      <c r="F9" s="10">
        <f>IF(DAY(MayDom1)=1,MayDom1+32,MayDom1+39)</f>
        <v>43258</v>
      </c>
      <c r="G9" s="10">
        <f>IF(DAY(MayDom1)=1,MayDom1+33,MayDom1+40)</f>
        <v>43259</v>
      </c>
      <c r="H9" s="10">
        <f>IF(DAY(MayDom1)=1,MayDom1+34,MayDom1+41)</f>
        <v>43260</v>
      </c>
      <c r="I9" s="10">
        <f>IF(DAY(MayDom1)=1,MayDom1+35,MayDom1+42)</f>
        <v>43261</v>
      </c>
      <c r="J9" s="5"/>
      <c r="K9" s="12"/>
      <c r="L9" s="18"/>
      <c r="M9" s="65"/>
      <c r="N9" s="66"/>
    </row>
    <row r="10" spans="1:14" ht="18" customHeight="1" x14ac:dyDescent="0.2">
      <c r="A10" s="4"/>
      <c r="B10" s="102"/>
      <c r="C10" s="23"/>
      <c r="D10" s="23"/>
      <c r="E10" s="23"/>
      <c r="F10" s="23"/>
      <c r="G10" s="23"/>
      <c r="H10" s="23"/>
      <c r="I10" s="23"/>
      <c r="J10" s="24"/>
      <c r="K10" s="69" t="s">
        <v>13</v>
      </c>
      <c r="L10" s="16"/>
      <c r="M10" s="67"/>
      <c r="N10" s="68"/>
    </row>
    <row r="11" spans="1:14" ht="18" customHeight="1" x14ac:dyDescent="0.2">
      <c r="A11" s="4"/>
      <c r="B11" s="103" t="s">
        <v>11</v>
      </c>
      <c r="C11" s="104"/>
      <c r="D11" s="104"/>
      <c r="E11" s="104"/>
      <c r="F11" s="104"/>
      <c r="G11" s="104"/>
      <c r="H11" s="104"/>
      <c r="I11" s="104"/>
      <c r="J11" s="105"/>
      <c r="K11" s="70"/>
      <c r="L11" s="17"/>
      <c r="M11" s="63"/>
      <c r="N11" s="64"/>
    </row>
    <row r="12" spans="1:14" ht="18" customHeight="1" x14ac:dyDescent="0.2">
      <c r="A12" s="4"/>
      <c r="B12" s="103"/>
      <c r="C12" s="104"/>
      <c r="D12" s="104"/>
      <c r="E12" s="104"/>
      <c r="F12" s="104"/>
      <c r="G12" s="104"/>
      <c r="H12" s="104"/>
      <c r="I12" s="104"/>
      <c r="J12" s="105"/>
      <c r="K12" s="70"/>
      <c r="L12" s="17"/>
      <c r="M12" s="63"/>
      <c r="N12" s="64"/>
    </row>
    <row r="13" spans="1:14" ht="18" customHeight="1" x14ac:dyDescent="0.2">
      <c r="B13" s="3" t="s">
        <v>12</v>
      </c>
      <c r="C13" s="71" t="s">
        <v>13</v>
      </c>
      <c r="D13" s="73"/>
      <c r="E13" s="71" t="s">
        <v>14</v>
      </c>
      <c r="F13" s="73"/>
      <c r="G13" s="71" t="s">
        <v>15</v>
      </c>
      <c r="H13" s="73"/>
      <c r="I13" s="71" t="s">
        <v>16</v>
      </c>
      <c r="J13" s="72"/>
      <c r="K13" s="11"/>
      <c r="L13" s="17"/>
      <c r="M13" s="63"/>
      <c r="N13" s="64"/>
    </row>
    <row r="14" spans="1:14" ht="18" customHeight="1" x14ac:dyDescent="0.2">
      <c r="B14" s="8" t="s">
        <v>2</v>
      </c>
      <c r="C14" s="85"/>
      <c r="D14" s="86"/>
      <c r="E14" s="85" t="s">
        <v>2</v>
      </c>
      <c r="F14" s="86"/>
      <c r="G14" s="85"/>
      <c r="H14" s="86"/>
      <c r="I14" s="85" t="s">
        <v>2</v>
      </c>
      <c r="J14" s="94"/>
      <c r="K14" s="11"/>
      <c r="L14" s="17"/>
      <c r="M14" s="63"/>
      <c r="N14" s="64"/>
    </row>
    <row r="15" spans="1:14" ht="18" customHeight="1" x14ac:dyDescent="0.2">
      <c r="B15" s="6"/>
      <c r="C15" s="83"/>
      <c r="D15" s="84"/>
      <c r="E15" s="83"/>
      <c r="F15" s="84"/>
      <c r="G15" s="83"/>
      <c r="H15" s="84"/>
      <c r="I15" s="91"/>
      <c r="J15" s="92"/>
      <c r="K15" s="13"/>
      <c r="L15" s="19"/>
      <c r="M15" s="65"/>
      <c r="N15" s="66"/>
    </row>
    <row r="16" spans="1:14" ht="18" customHeight="1" x14ac:dyDescent="0.2">
      <c r="B16" s="8"/>
      <c r="C16" s="85"/>
      <c r="D16" s="86"/>
      <c r="E16" s="85"/>
      <c r="F16" s="86"/>
      <c r="G16" s="85"/>
      <c r="H16" s="86"/>
      <c r="I16" s="95"/>
      <c r="J16" s="96"/>
      <c r="K16" s="61" t="s">
        <v>14</v>
      </c>
      <c r="L16" s="16"/>
      <c r="M16" s="67"/>
      <c r="N16" s="68"/>
    </row>
    <row r="17" spans="2:14" ht="18" customHeight="1" x14ac:dyDescent="0.2">
      <c r="B17" s="6"/>
      <c r="C17" s="83"/>
      <c r="D17" s="84"/>
      <c r="E17" s="83"/>
      <c r="F17" s="84"/>
      <c r="G17" s="83"/>
      <c r="H17" s="84"/>
      <c r="I17" s="91"/>
      <c r="J17" s="92"/>
      <c r="K17" s="62"/>
      <c r="L17" s="17"/>
      <c r="M17" s="63"/>
      <c r="N17" s="64"/>
    </row>
    <row r="18" spans="2:14" ht="18" customHeight="1" x14ac:dyDescent="0.2">
      <c r="B18" s="9"/>
      <c r="C18" s="87"/>
      <c r="D18" s="88"/>
      <c r="E18" s="87"/>
      <c r="F18" s="88"/>
      <c r="G18" s="87"/>
      <c r="H18" s="88"/>
      <c r="I18" s="87"/>
      <c r="J18" s="93"/>
      <c r="K18" s="62"/>
      <c r="L18" s="17"/>
      <c r="M18" s="63"/>
      <c r="N18" s="64"/>
    </row>
    <row r="19" spans="2:14" ht="18" customHeight="1" x14ac:dyDescent="0.2">
      <c r="B19" s="6"/>
      <c r="C19" s="83"/>
      <c r="D19" s="84"/>
      <c r="E19" s="83"/>
      <c r="F19" s="84"/>
      <c r="G19" s="83"/>
      <c r="H19" s="84"/>
      <c r="I19" s="91"/>
      <c r="J19" s="92"/>
      <c r="K19" s="11"/>
      <c r="L19" s="17"/>
      <c r="M19" s="63"/>
      <c r="N19" s="64"/>
    </row>
    <row r="20" spans="2:14" ht="18" customHeight="1" x14ac:dyDescent="0.2">
      <c r="B20" s="8"/>
      <c r="C20" s="85"/>
      <c r="D20" s="86"/>
      <c r="E20" s="85"/>
      <c r="F20" s="86"/>
      <c r="G20" s="85"/>
      <c r="H20" s="86"/>
      <c r="I20" s="85"/>
      <c r="J20" s="94"/>
      <c r="K20" s="11"/>
      <c r="L20" s="17"/>
      <c r="M20" s="63"/>
      <c r="N20" s="64"/>
    </row>
    <row r="21" spans="2:14" ht="18" customHeight="1" x14ac:dyDescent="0.2">
      <c r="B21" s="6"/>
      <c r="C21" s="83"/>
      <c r="D21" s="84"/>
      <c r="E21" s="83"/>
      <c r="F21" s="84"/>
      <c r="G21" s="83"/>
      <c r="H21" s="84"/>
      <c r="I21" s="97"/>
      <c r="J21" s="98"/>
      <c r="K21" s="13"/>
      <c r="L21" s="19"/>
      <c r="M21" s="65"/>
      <c r="N21" s="66"/>
    </row>
    <row r="22" spans="2:14" ht="18" customHeight="1" x14ac:dyDescent="0.2">
      <c r="B22" s="8"/>
      <c r="C22" s="85"/>
      <c r="D22" s="86"/>
      <c r="E22" s="85"/>
      <c r="F22" s="86"/>
      <c r="G22" s="85"/>
      <c r="H22" s="86"/>
      <c r="I22" s="85"/>
      <c r="J22" s="94"/>
      <c r="K22" s="61" t="s">
        <v>15</v>
      </c>
      <c r="L22" s="16"/>
      <c r="M22" s="67"/>
      <c r="N22" s="68"/>
    </row>
    <row r="23" spans="2:14" ht="18" customHeight="1" x14ac:dyDescent="0.2">
      <c r="B23" s="6"/>
      <c r="C23" s="83"/>
      <c r="D23" s="84"/>
      <c r="E23" s="83"/>
      <c r="F23" s="84"/>
      <c r="G23" s="83"/>
      <c r="H23" s="84"/>
      <c r="I23" s="91"/>
      <c r="J23" s="92"/>
      <c r="K23" s="62"/>
      <c r="L23" s="17"/>
      <c r="M23" s="63"/>
      <c r="N23" s="64"/>
    </row>
    <row r="24" spans="2:14" ht="18" customHeight="1" x14ac:dyDescent="0.2">
      <c r="B24" s="8"/>
      <c r="C24" s="85"/>
      <c r="D24" s="86"/>
      <c r="E24" s="85"/>
      <c r="F24" s="86"/>
      <c r="G24" s="85"/>
      <c r="H24" s="86"/>
      <c r="I24" s="85"/>
      <c r="J24" s="94"/>
      <c r="K24" s="62"/>
      <c r="L24" s="17"/>
      <c r="M24" s="63"/>
      <c r="N24" s="64"/>
    </row>
    <row r="25" spans="2:14" ht="18" customHeight="1" x14ac:dyDescent="0.2">
      <c r="B25" s="6"/>
      <c r="C25" s="83"/>
      <c r="D25" s="84"/>
      <c r="E25" s="83"/>
      <c r="F25" s="84"/>
      <c r="G25" s="83"/>
      <c r="H25" s="84"/>
      <c r="I25" s="91"/>
      <c r="J25" s="92"/>
      <c r="K25" s="62"/>
      <c r="L25" s="17"/>
      <c r="M25" s="63"/>
      <c r="N25" s="64"/>
    </row>
    <row r="26" spans="2:14" ht="18" customHeight="1" x14ac:dyDescent="0.2">
      <c r="B26" s="8"/>
      <c r="C26" s="85"/>
      <c r="D26" s="86"/>
      <c r="E26" s="85"/>
      <c r="F26" s="86"/>
      <c r="G26" s="85"/>
      <c r="H26" s="86"/>
      <c r="I26" s="85"/>
      <c r="J26" s="94"/>
      <c r="K26" s="11"/>
      <c r="L26" s="17"/>
      <c r="M26" s="63"/>
      <c r="N26" s="64"/>
    </row>
    <row r="27" spans="2:14" ht="18" customHeight="1" x14ac:dyDescent="0.2">
      <c r="B27" s="6"/>
      <c r="C27" s="83"/>
      <c r="D27" s="84"/>
      <c r="E27" s="83"/>
      <c r="F27" s="84"/>
      <c r="G27" s="83"/>
      <c r="H27" s="84"/>
      <c r="I27" s="91"/>
      <c r="J27" s="92"/>
      <c r="K27" s="13"/>
      <c r="L27" s="19"/>
      <c r="M27" s="65"/>
      <c r="N27" s="66"/>
    </row>
    <row r="28" spans="2:14" ht="18" customHeight="1" x14ac:dyDescent="0.2">
      <c r="B28" s="8"/>
      <c r="C28" s="85"/>
      <c r="D28" s="86"/>
      <c r="E28" s="85"/>
      <c r="F28" s="86"/>
      <c r="G28" s="85"/>
      <c r="H28" s="86"/>
      <c r="I28" s="85"/>
      <c r="J28" s="94"/>
      <c r="K28" s="69" t="s">
        <v>16</v>
      </c>
      <c r="L28" s="16"/>
      <c r="M28" s="67"/>
      <c r="N28" s="68"/>
    </row>
    <row r="29" spans="2:14" ht="18" customHeight="1" x14ac:dyDescent="0.2">
      <c r="B29" s="6"/>
      <c r="C29" s="83"/>
      <c r="D29" s="84"/>
      <c r="E29" s="83"/>
      <c r="F29" s="84"/>
      <c r="G29" s="83"/>
      <c r="H29" s="84"/>
      <c r="I29" s="83"/>
      <c r="J29" s="99"/>
      <c r="K29" s="70"/>
      <c r="L29" s="17"/>
      <c r="M29" s="63"/>
      <c r="N29" s="64"/>
    </row>
    <row r="30" spans="2:14" ht="18" customHeight="1" x14ac:dyDescent="0.2">
      <c r="B30" s="8"/>
      <c r="C30" s="85"/>
      <c r="D30" s="86"/>
      <c r="E30" s="85"/>
      <c r="F30" s="86"/>
      <c r="G30" s="85"/>
      <c r="H30" s="86"/>
      <c r="I30" s="108"/>
      <c r="J30" s="109"/>
      <c r="K30" s="70"/>
      <c r="L30" s="17"/>
      <c r="M30" s="63"/>
      <c r="N30" s="64"/>
    </row>
    <row r="31" spans="2:14" ht="18" customHeight="1" x14ac:dyDescent="0.2">
      <c r="B31" s="6"/>
      <c r="C31" s="83"/>
      <c r="D31" s="84"/>
      <c r="E31" s="83"/>
      <c r="F31" s="84"/>
      <c r="G31" s="83"/>
      <c r="H31" s="84"/>
      <c r="I31" s="83"/>
      <c r="J31" s="99"/>
      <c r="K31" s="14"/>
      <c r="L31" s="17"/>
      <c r="M31" s="63"/>
      <c r="N31" s="64"/>
    </row>
    <row r="32" spans="2:14" ht="18" customHeight="1" x14ac:dyDescent="0.2">
      <c r="B32" s="8"/>
      <c r="C32" s="85"/>
      <c r="D32" s="86"/>
      <c r="E32" s="85"/>
      <c r="F32" s="86"/>
      <c r="G32" s="85"/>
      <c r="H32" s="86"/>
      <c r="I32" s="95"/>
      <c r="J32" s="96"/>
      <c r="K32" s="14"/>
      <c r="L32" s="17"/>
      <c r="M32" s="63"/>
      <c r="N32" s="64"/>
    </row>
    <row r="33" spans="2:14" ht="18" customHeight="1" x14ac:dyDescent="0.2">
      <c r="B33" s="7"/>
      <c r="C33" s="89"/>
      <c r="D33" s="90"/>
      <c r="E33" s="89"/>
      <c r="F33" s="90"/>
      <c r="G33" s="89"/>
      <c r="H33" s="90"/>
      <c r="I33" s="110"/>
      <c r="J33" s="111"/>
      <c r="K33" s="15"/>
      <c r="L33" s="20"/>
      <c r="M33" s="106"/>
      <c r="N33" s="107"/>
    </row>
  </sheetData>
  <mergeCells count="122">
    <mergeCell ref="C33:D33"/>
    <mergeCell ref="E33:F33"/>
    <mergeCell ref="G33:H33"/>
    <mergeCell ref="I33:J33"/>
    <mergeCell ref="M33:N33"/>
    <mergeCell ref="C31:D31"/>
    <mergeCell ref="E31:F31"/>
    <mergeCell ref="G31:H31"/>
    <mergeCell ref="I31:J31"/>
    <mergeCell ref="M31:N31"/>
    <mergeCell ref="C32:D32"/>
    <mergeCell ref="E32:F32"/>
    <mergeCell ref="G32:H32"/>
    <mergeCell ref="I32:J32"/>
    <mergeCell ref="M32:N32"/>
    <mergeCell ref="M29:N29"/>
    <mergeCell ref="C30:D30"/>
    <mergeCell ref="E30:F30"/>
    <mergeCell ref="G30:H30"/>
    <mergeCell ref="I30:J30"/>
    <mergeCell ref="M30:N30"/>
    <mergeCell ref="C28:D28"/>
    <mergeCell ref="E28:F28"/>
    <mergeCell ref="G28:H28"/>
    <mergeCell ref="I28:J28"/>
    <mergeCell ref="K28:K30"/>
    <mergeCell ref="M28:N28"/>
    <mergeCell ref="C29:D29"/>
    <mergeCell ref="E29:F29"/>
    <mergeCell ref="G29:H29"/>
    <mergeCell ref="I29:J29"/>
    <mergeCell ref="I25:J25"/>
    <mergeCell ref="M25:N25"/>
    <mergeCell ref="C26:D26"/>
    <mergeCell ref="E26:F26"/>
    <mergeCell ref="G26:H26"/>
    <mergeCell ref="I26:J26"/>
    <mergeCell ref="M26:N26"/>
    <mergeCell ref="C27:D27"/>
    <mergeCell ref="E27:F27"/>
    <mergeCell ref="G27:H27"/>
    <mergeCell ref="I27:J27"/>
    <mergeCell ref="M27:N27"/>
    <mergeCell ref="M22:N22"/>
    <mergeCell ref="C23:D23"/>
    <mergeCell ref="E23:F23"/>
    <mergeCell ref="G23:H23"/>
    <mergeCell ref="I23:J23"/>
    <mergeCell ref="M23:N23"/>
    <mergeCell ref="C21:D21"/>
    <mergeCell ref="E21:F21"/>
    <mergeCell ref="G21:H21"/>
    <mergeCell ref="I21:J21"/>
    <mergeCell ref="M21:N21"/>
    <mergeCell ref="C22:D22"/>
    <mergeCell ref="E22:F22"/>
    <mergeCell ref="G22:H22"/>
    <mergeCell ref="I22:J22"/>
    <mergeCell ref="K22:K25"/>
    <mergeCell ref="C24:D24"/>
    <mergeCell ref="E24:F24"/>
    <mergeCell ref="G24:H24"/>
    <mergeCell ref="I24:J24"/>
    <mergeCell ref="M24:N24"/>
    <mergeCell ref="C25:D25"/>
    <mergeCell ref="E25:F25"/>
    <mergeCell ref="G25:H25"/>
    <mergeCell ref="C19:D19"/>
    <mergeCell ref="E19:F19"/>
    <mergeCell ref="G19:H19"/>
    <mergeCell ref="I19:J19"/>
    <mergeCell ref="M19:N19"/>
    <mergeCell ref="C20:D20"/>
    <mergeCell ref="E20:F20"/>
    <mergeCell ref="G20:H20"/>
    <mergeCell ref="I20:J20"/>
    <mergeCell ref="M20:N20"/>
    <mergeCell ref="M17:N17"/>
    <mergeCell ref="C18:D18"/>
    <mergeCell ref="E18:F18"/>
    <mergeCell ref="G18:H18"/>
    <mergeCell ref="I18:J18"/>
    <mergeCell ref="M18:N18"/>
    <mergeCell ref="C16:D16"/>
    <mergeCell ref="E16:F16"/>
    <mergeCell ref="G16:H16"/>
    <mergeCell ref="I16:J16"/>
    <mergeCell ref="K16:K18"/>
    <mergeCell ref="M16:N16"/>
    <mergeCell ref="C17:D17"/>
    <mergeCell ref="E17:F17"/>
    <mergeCell ref="G17:H17"/>
    <mergeCell ref="I17:J17"/>
    <mergeCell ref="C14:D14"/>
    <mergeCell ref="E14:F14"/>
    <mergeCell ref="G14:H14"/>
    <mergeCell ref="I14:J14"/>
    <mergeCell ref="M14:N14"/>
    <mergeCell ref="C15:D15"/>
    <mergeCell ref="E15:F15"/>
    <mergeCell ref="G15:H15"/>
    <mergeCell ref="I15:J15"/>
    <mergeCell ref="M15:N15"/>
    <mergeCell ref="M10:N10"/>
    <mergeCell ref="B11:J12"/>
    <mergeCell ref="M11:N11"/>
    <mergeCell ref="M12:N12"/>
    <mergeCell ref="C13:D13"/>
    <mergeCell ref="E13:F13"/>
    <mergeCell ref="G13:H13"/>
    <mergeCell ref="I13:J13"/>
    <mergeCell ref="M13:N13"/>
    <mergeCell ref="B2:B10"/>
    <mergeCell ref="K2:M3"/>
    <mergeCell ref="K4:K6"/>
    <mergeCell ref="M4:N4"/>
    <mergeCell ref="M5:N5"/>
    <mergeCell ref="M6:N6"/>
    <mergeCell ref="M7:N7"/>
    <mergeCell ref="M8:N8"/>
    <mergeCell ref="M9:N9"/>
    <mergeCell ref="K10:K12"/>
  </mergeCells>
  <conditionalFormatting sqref="C4:H4">
    <cfRule type="expression" dxfId="33" priority="3" stopIfTrue="1">
      <formula>DAY(C4)&gt;8</formula>
    </cfRule>
  </conditionalFormatting>
  <conditionalFormatting sqref="C8:I10">
    <cfRule type="expression" dxfId="32" priority="2" stopIfTrue="1">
      <formula>AND(DAY(C8)&gt;=1,DAY(C8)&lt;=15)</formula>
    </cfRule>
  </conditionalFormatting>
  <conditionalFormatting sqref="C4:I9">
    <cfRule type="expression" dxfId="31" priority="4">
      <formula>VLOOKUP(DAY(C4),DíasDeTareas,1,FALSE)=DAY(C4)</formula>
    </cfRule>
  </conditionalFormatting>
  <conditionalFormatting sqref="B14:J33">
    <cfRule type="expression" dxfId="30" priority="1">
      <formula>B14&lt;&gt;""</formula>
    </cfRule>
  </conditionalFormatting>
  <printOptions horizontalCentered="1"/>
  <pageMargins left="0.5" right="0.5" top="0.5" bottom="0.5" header="0.3" footer="0.3"/>
  <pageSetup scale="63"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AO33"/>
  <sheetViews>
    <sheetView showGridLines="0" topLeftCell="A9" zoomScaleNormal="100" zoomScalePageLayoutView="84" workbookViewId="0">
      <selection activeCell="M25" sqref="M24:N25"/>
    </sheetView>
  </sheetViews>
  <sheetFormatPr baseColWidth="10" defaultColWidth="8.7109375" defaultRowHeight="16.5" customHeight="1" x14ac:dyDescent="0.2"/>
  <cols>
    <col min="1" max="1" width="2.28515625" style="1" customWidth="1"/>
    <col min="2" max="2" width="12.7109375" style="1" customWidth="1"/>
    <col min="3" max="10" width="6.7109375" style="1" customWidth="1"/>
    <col min="11" max="11" width="7.28515625" style="1" customWidth="1"/>
    <col min="12" max="12" width="3.85546875" customWidth="1"/>
    <col min="13" max="13" width="51.42578125" style="1" customWidth="1"/>
    <col min="14" max="14" width="10.7109375" style="1" customWidth="1"/>
    <col min="15" max="15" width="2.28515625" customWidth="1"/>
    <col min="16" max="22" width="8.85546875" customWidth="1"/>
    <col min="42" max="16384" width="8.7109375" style="1"/>
  </cols>
  <sheetData>
    <row r="1" spans="1:14" ht="11.25" customHeight="1" x14ac:dyDescent="0.2"/>
    <row r="2" spans="1:14" ht="18" customHeight="1" x14ac:dyDescent="0.2">
      <c r="A2" s="4"/>
      <c r="B2" s="100" t="s">
        <v>22</v>
      </c>
      <c r="C2" s="21"/>
      <c r="D2" s="21"/>
      <c r="E2" s="21"/>
      <c r="F2" s="21"/>
      <c r="G2" s="21"/>
      <c r="H2" s="21"/>
      <c r="I2" s="21"/>
      <c r="J2" s="22"/>
      <c r="K2" s="74" t="s">
        <v>3</v>
      </c>
      <c r="L2" s="75">
        <v>2013</v>
      </c>
      <c r="M2" s="75"/>
      <c r="N2" s="25"/>
    </row>
    <row r="3" spans="1:14" ht="21" customHeight="1" x14ac:dyDescent="0.2">
      <c r="A3" s="4"/>
      <c r="B3" s="101"/>
      <c r="C3" s="2" t="s">
        <v>5</v>
      </c>
      <c r="D3" s="2" t="s">
        <v>1</v>
      </c>
      <c r="E3" s="2" t="s">
        <v>6</v>
      </c>
      <c r="F3" s="2" t="s">
        <v>7</v>
      </c>
      <c r="G3" s="2" t="s">
        <v>8</v>
      </c>
      <c r="H3" s="2" t="s">
        <v>0</v>
      </c>
      <c r="I3" s="2" t="s">
        <v>9</v>
      </c>
      <c r="J3" s="5"/>
      <c r="K3" s="76"/>
      <c r="L3" s="77"/>
      <c r="M3" s="77"/>
      <c r="N3" s="26"/>
    </row>
    <row r="4" spans="1:14" ht="18" customHeight="1" x14ac:dyDescent="0.2">
      <c r="A4" s="4"/>
      <c r="B4" s="101"/>
      <c r="C4" s="10">
        <f>IF(DAY(JunDom1)=1,JunDom1-6,JunDom1+1)</f>
        <v>43248</v>
      </c>
      <c r="D4" s="10">
        <f>IF(DAY(JunDom1)=1,JunDom1-5,JunDom1+2)</f>
        <v>43249</v>
      </c>
      <c r="E4" s="10">
        <f>IF(DAY(JunDom1)=1,JunDom1-4,JunDom1+3)</f>
        <v>43250</v>
      </c>
      <c r="F4" s="10">
        <f>IF(DAY(JunDom1)=1,JunDom1-3,JunDom1+4)</f>
        <v>43251</v>
      </c>
      <c r="G4" s="10">
        <f>IF(DAY(JunDom1)=1,JunDom1-2,JunDom1+5)</f>
        <v>43252</v>
      </c>
      <c r="H4" s="10">
        <f>IF(DAY(JunDom1)=1,JunDom1-1,JunDom1+6)</f>
        <v>43253</v>
      </c>
      <c r="I4" s="10">
        <f>IF(DAY(JunDom1)=1,JunDom1,JunDom1+7)</f>
        <v>43254</v>
      </c>
      <c r="J4" s="5"/>
      <c r="K4" s="78" t="s">
        <v>12</v>
      </c>
      <c r="L4" s="16"/>
      <c r="M4" s="79"/>
      <c r="N4" s="80"/>
    </row>
    <row r="5" spans="1:14" ht="18" customHeight="1" x14ac:dyDescent="0.2">
      <c r="A5" s="4"/>
      <c r="B5" s="101"/>
      <c r="C5" s="10">
        <f>IF(DAY(JunDom1)=1,JunDom1+1,JunDom1+8)</f>
        <v>43255</v>
      </c>
      <c r="D5" s="10">
        <f>IF(DAY(JunDom1)=1,JunDom1+2,JunDom1+9)</f>
        <v>43256</v>
      </c>
      <c r="E5" s="10">
        <f>IF(DAY(JunDom1)=1,JunDom1+3,JunDom1+10)</f>
        <v>43257</v>
      </c>
      <c r="F5" s="10">
        <f>IF(DAY(JunDom1)=1,JunDom1+4,JunDom1+11)</f>
        <v>43258</v>
      </c>
      <c r="G5" s="10">
        <f>IF(DAY(JunDom1)=1,JunDom1+5,JunDom1+12)</f>
        <v>43259</v>
      </c>
      <c r="H5" s="10">
        <f>IF(DAY(JunDom1)=1,JunDom1+6,JunDom1+13)</f>
        <v>43260</v>
      </c>
      <c r="I5" s="10">
        <f>IF(DAY(JunDom1)=1,JunDom1+7,JunDom1+14)</f>
        <v>43261</v>
      </c>
      <c r="J5" s="5"/>
      <c r="K5" s="70"/>
      <c r="L5" s="17"/>
      <c r="M5" s="63"/>
      <c r="N5" s="64"/>
    </row>
    <row r="6" spans="1:14" ht="18" customHeight="1" x14ac:dyDescent="0.2">
      <c r="A6" s="4"/>
      <c r="B6" s="101"/>
      <c r="C6" s="10">
        <f>IF(DAY(JunDom1)=1,JunDom1+8,JunDom1+15)</f>
        <v>43262</v>
      </c>
      <c r="D6" s="10">
        <f>IF(DAY(JunDom1)=1,JunDom1+9,JunDom1+16)</f>
        <v>43263</v>
      </c>
      <c r="E6" s="10">
        <f>IF(DAY(JunDom1)=1,JunDom1+10,JunDom1+17)</f>
        <v>43264</v>
      </c>
      <c r="F6" s="10">
        <f>IF(DAY(JunDom1)=1,JunDom1+11,JunDom1+18)</f>
        <v>43265</v>
      </c>
      <c r="G6" s="10">
        <f>IF(DAY(JunDom1)=1,JunDom1+12,JunDom1+19)</f>
        <v>43266</v>
      </c>
      <c r="H6" s="10">
        <f>IF(DAY(JunDom1)=1,JunDom1+13,JunDom1+20)</f>
        <v>43267</v>
      </c>
      <c r="I6" s="10">
        <f>IF(DAY(JunDom1)=1,JunDom1+14,JunDom1+21)</f>
        <v>43268</v>
      </c>
      <c r="J6" s="5"/>
      <c r="K6" s="70"/>
      <c r="L6" s="17"/>
      <c r="M6" s="63"/>
      <c r="N6" s="64"/>
    </row>
    <row r="7" spans="1:14" ht="18" customHeight="1" x14ac:dyDescent="0.2">
      <c r="A7" s="4"/>
      <c r="B7" s="101"/>
      <c r="C7" s="10">
        <f>IF(DAY(JunDom1)=1,JunDom1+15,JunDom1+22)</f>
        <v>43269</v>
      </c>
      <c r="D7" s="10">
        <f>IF(DAY(JunDom1)=1,JunDom1+16,JunDom1+23)</f>
        <v>43270</v>
      </c>
      <c r="E7" s="10">
        <f>IF(DAY(JunDom1)=1,JunDom1+17,JunDom1+24)</f>
        <v>43271</v>
      </c>
      <c r="F7" s="10">
        <f>IF(DAY(JunDom1)=1,JunDom1+18,JunDom1+25)</f>
        <v>43272</v>
      </c>
      <c r="G7" s="10">
        <f>IF(DAY(JunDom1)=1,JunDom1+19,JunDom1+26)</f>
        <v>43273</v>
      </c>
      <c r="H7" s="10">
        <f>IF(DAY(JunDom1)=1,JunDom1+20,JunDom1+27)</f>
        <v>43274</v>
      </c>
      <c r="I7" s="10">
        <f>IF(DAY(JunDom1)=1,JunDom1+21,JunDom1+28)</f>
        <v>43275</v>
      </c>
      <c r="J7" s="5"/>
      <c r="K7" s="11"/>
      <c r="L7" s="17"/>
      <c r="M7" s="63"/>
      <c r="N7" s="64"/>
    </row>
    <row r="8" spans="1:14" ht="18.75" customHeight="1" x14ac:dyDescent="0.2">
      <c r="A8" s="4"/>
      <c r="B8" s="101"/>
      <c r="C8" s="10">
        <f>IF(DAY(JunDom1)=1,JunDom1+22,JunDom1+29)</f>
        <v>43276</v>
      </c>
      <c r="D8" s="10">
        <f>IF(DAY(JunDom1)=1,JunDom1+23,JunDom1+30)</f>
        <v>43277</v>
      </c>
      <c r="E8" s="10">
        <f>IF(DAY(JunDom1)=1,JunDom1+24,JunDom1+31)</f>
        <v>43278</v>
      </c>
      <c r="F8" s="10">
        <f>IF(DAY(JunDom1)=1,JunDom1+25,JunDom1+32)</f>
        <v>43279</v>
      </c>
      <c r="G8" s="10">
        <f>IF(DAY(JunDom1)=1,JunDom1+26,JunDom1+33)</f>
        <v>43280</v>
      </c>
      <c r="H8" s="10">
        <f>IF(DAY(JunDom1)=1,JunDom1+27,JunDom1+34)</f>
        <v>43281</v>
      </c>
      <c r="I8" s="10">
        <f>IF(DAY(JunDom1)=1,JunDom1+28,JunDom1+35)</f>
        <v>43282</v>
      </c>
      <c r="J8" s="5"/>
      <c r="K8" s="11"/>
      <c r="L8" s="17"/>
      <c r="M8" s="63"/>
      <c r="N8" s="64"/>
    </row>
    <row r="9" spans="1:14" ht="18" customHeight="1" x14ac:dyDescent="0.2">
      <c r="A9" s="4"/>
      <c r="B9" s="101"/>
      <c r="C9" s="10">
        <f>IF(DAY(JunDom1)=1,JunDom1+29,JunDom1+36)</f>
        <v>43283</v>
      </c>
      <c r="D9" s="10">
        <f>IF(DAY(JunDom1)=1,JunDom1+30,JunDom1+37)</f>
        <v>43284</v>
      </c>
      <c r="E9" s="10">
        <f>IF(DAY(JunDom1)=1,JunDom1+31,JunDom1+38)</f>
        <v>43285</v>
      </c>
      <c r="F9" s="10">
        <f>IF(DAY(JunDom1)=1,JunDom1+32,JunDom1+39)</f>
        <v>43286</v>
      </c>
      <c r="G9" s="10">
        <f>IF(DAY(JunDom1)=1,JunDom1+33,JunDom1+40)</f>
        <v>43287</v>
      </c>
      <c r="H9" s="10">
        <f>IF(DAY(JunDom1)=1,JunDom1+34,JunDom1+41)</f>
        <v>43288</v>
      </c>
      <c r="I9" s="10">
        <f>IF(DAY(JunDom1)=1,JunDom1+35,JunDom1+42)</f>
        <v>43289</v>
      </c>
      <c r="J9" s="5"/>
      <c r="K9" s="12"/>
      <c r="L9" s="18"/>
      <c r="M9" s="65"/>
      <c r="N9" s="66"/>
    </row>
    <row r="10" spans="1:14" ht="18" customHeight="1" x14ac:dyDescent="0.2">
      <c r="A10" s="4"/>
      <c r="B10" s="102"/>
      <c r="C10" s="23"/>
      <c r="D10" s="23"/>
      <c r="E10" s="23"/>
      <c r="F10" s="23"/>
      <c r="G10" s="23"/>
      <c r="H10" s="23"/>
      <c r="I10" s="23"/>
      <c r="J10" s="24"/>
      <c r="K10" s="69" t="s">
        <v>13</v>
      </c>
      <c r="L10" s="16"/>
      <c r="M10" s="67"/>
      <c r="N10" s="68"/>
    </row>
    <row r="11" spans="1:14" ht="18" customHeight="1" x14ac:dyDescent="0.2">
      <c r="A11" s="4"/>
      <c r="B11" s="103" t="s">
        <v>11</v>
      </c>
      <c r="C11" s="104"/>
      <c r="D11" s="104"/>
      <c r="E11" s="104"/>
      <c r="F11" s="104"/>
      <c r="G11" s="104"/>
      <c r="H11" s="104"/>
      <c r="I11" s="104"/>
      <c r="J11" s="105"/>
      <c r="K11" s="70"/>
      <c r="L11" s="17"/>
      <c r="M11" s="63"/>
      <c r="N11" s="64"/>
    </row>
    <row r="12" spans="1:14" ht="18" customHeight="1" x14ac:dyDescent="0.2">
      <c r="A12" s="4"/>
      <c r="B12" s="103"/>
      <c r="C12" s="104"/>
      <c r="D12" s="104"/>
      <c r="E12" s="104"/>
      <c r="F12" s="104"/>
      <c r="G12" s="104"/>
      <c r="H12" s="104"/>
      <c r="I12" s="104"/>
      <c r="J12" s="105"/>
      <c r="K12" s="70"/>
      <c r="L12" s="17"/>
      <c r="M12" s="63"/>
      <c r="N12" s="64"/>
    </row>
    <row r="13" spans="1:14" ht="18" customHeight="1" x14ac:dyDescent="0.2">
      <c r="B13" s="3" t="s">
        <v>12</v>
      </c>
      <c r="C13" s="71" t="s">
        <v>13</v>
      </c>
      <c r="D13" s="73"/>
      <c r="E13" s="71" t="s">
        <v>14</v>
      </c>
      <c r="F13" s="73"/>
      <c r="G13" s="71" t="s">
        <v>15</v>
      </c>
      <c r="H13" s="73"/>
      <c r="I13" s="71" t="s">
        <v>16</v>
      </c>
      <c r="J13" s="72"/>
      <c r="K13" s="11"/>
      <c r="L13" s="17"/>
      <c r="M13" s="63"/>
      <c r="N13" s="64"/>
    </row>
    <row r="14" spans="1:14" ht="18" customHeight="1" x14ac:dyDescent="0.2">
      <c r="B14" s="8"/>
      <c r="C14" s="85"/>
      <c r="D14" s="86"/>
      <c r="E14" s="85"/>
      <c r="F14" s="86"/>
      <c r="G14" s="85"/>
      <c r="H14" s="86"/>
      <c r="I14" s="85"/>
      <c r="J14" s="94"/>
      <c r="K14" s="11"/>
      <c r="L14" s="17"/>
      <c r="M14" s="63"/>
      <c r="N14" s="64"/>
    </row>
    <row r="15" spans="1:14" ht="18" customHeight="1" x14ac:dyDescent="0.2">
      <c r="B15" s="6"/>
      <c r="C15" s="83"/>
      <c r="D15" s="84"/>
      <c r="E15" s="83"/>
      <c r="F15" s="84"/>
      <c r="G15" s="83"/>
      <c r="H15" s="84"/>
      <c r="I15" s="91"/>
      <c r="J15" s="92"/>
      <c r="K15" s="13"/>
      <c r="L15" s="19"/>
      <c r="M15" s="65"/>
      <c r="N15" s="66"/>
    </row>
    <row r="16" spans="1:14" ht="18" customHeight="1" x14ac:dyDescent="0.2">
      <c r="B16" s="8"/>
      <c r="C16" s="85"/>
      <c r="D16" s="86"/>
      <c r="E16" s="85"/>
      <c r="F16" s="86"/>
      <c r="G16" s="85"/>
      <c r="H16" s="86"/>
      <c r="I16" s="95"/>
      <c r="J16" s="96"/>
      <c r="K16" s="61" t="s">
        <v>14</v>
      </c>
      <c r="L16" s="16"/>
      <c r="M16" s="67"/>
      <c r="N16" s="68"/>
    </row>
    <row r="17" spans="2:14" ht="18" customHeight="1" x14ac:dyDescent="0.2">
      <c r="B17" s="6"/>
      <c r="C17" s="83"/>
      <c r="D17" s="84"/>
      <c r="E17" s="83"/>
      <c r="F17" s="84"/>
      <c r="G17" s="83"/>
      <c r="H17" s="84"/>
      <c r="I17" s="91"/>
      <c r="J17" s="92"/>
      <c r="K17" s="62"/>
      <c r="L17" s="17"/>
      <c r="M17" s="63"/>
      <c r="N17" s="64"/>
    </row>
    <row r="18" spans="2:14" ht="18" customHeight="1" x14ac:dyDescent="0.2">
      <c r="B18" s="9"/>
      <c r="C18" s="87"/>
      <c r="D18" s="88"/>
      <c r="E18" s="87"/>
      <c r="F18" s="88"/>
      <c r="G18" s="87"/>
      <c r="H18" s="88"/>
      <c r="I18" s="87"/>
      <c r="J18" s="93"/>
      <c r="K18" s="62"/>
      <c r="L18" s="17"/>
      <c r="M18" s="63"/>
      <c r="N18" s="64"/>
    </row>
    <row r="19" spans="2:14" ht="18" customHeight="1" x14ac:dyDescent="0.2">
      <c r="B19" s="6"/>
      <c r="C19" s="83"/>
      <c r="D19" s="84"/>
      <c r="E19" s="83"/>
      <c r="F19" s="84"/>
      <c r="G19" s="83"/>
      <c r="H19" s="84"/>
      <c r="I19" s="91"/>
      <c r="J19" s="92"/>
      <c r="K19" s="11"/>
      <c r="L19" s="17"/>
      <c r="M19" s="63"/>
      <c r="N19" s="64"/>
    </row>
    <row r="20" spans="2:14" ht="18" customHeight="1" x14ac:dyDescent="0.2">
      <c r="B20" s="8"/>
      <c r="C20" s="85"/>
      <c r="D20" s="86"/>
      <c r="E20" s="85"/>
      <c r="F20" s="86"/>
      <c r="G20" s="85"/>
      <c r="H20" s="86"/>
      <c r="I20" s="85"/>
      <c r="J20" s="94"/>
      <c r="K20" s="11"/>
      <c r="L20" s="17"/>
      <c r="M20" s="63"/>
      <c r="N20" s="64"/>
    </row>
    <row r="21" spans="2:14" ht="18" customHeight="1" x14ac:dyDescent="0.2">
      <c r="B21" s="6"/>
      <c r="C21" s="83"/>
      <c r="D21" s="84"/>
      <c r="E21" s="83"/>
      <c r="F21" s="84"/>
      <c r="G21" s="83"/>
      <c r="H21" s="84"/>
      <c r="I21" s="97"/>
      <c r="J21" s="98"/>
      <c r="K21" s="13"/>
      <c r="L21" s="19"/>
      <c r="M21" s="65"/>
      <c r="N21" s="66"/>
    </row>
    <row r="22" spans="2:14" ht="18" customHeight="1" x14ac:dyDescent="0.2">
      <c r="B22" s="8"/>
      <c r="C22" s="85"/>
      <c r="D22" s="86"/>
      <c r="E22" s="85"/>
      <c r="F22" s="86"/>
      <c r="G22" s="85"/>
      <c r="H22" s="86"/>
      <c r="I22" s="85"/>
      <c r="J22" s="94"/>
      <c r="K22" s="61" t="s">
        <v>15</v>
      </c>
      <c r="L22" s="16"/>
      <c r="M22" s="67"/>
      <c r="N22" s="68"/>
    </row>
    <row r="23" spans="2:14" ht="18" customHeight="1" x14ac:dyDescent="0.2">
      <c r="B23" s="6"/>
      <c r="C23" s="83"/>
      <c r="D23" s="84"/>
      <c r="E23" s="83"/>
      <c r="F23" s="84"/>
      <c r="G23" s="83"/>
      <c r="H23" s="84"/>
      <c r="I23" s="91"/>
      <c r="J23" s="92"/>
      <c r="K23" s="62"/>
      <c r="L23" s="17"/>
      <c r="M23" s="63"/>
      <c r="N23" s="64"/>
    </row>
    <row r="24" spans="2:14" ht="18" customHeight="1" x14ac:dyDescent="0.2">
      <c r="B24" s="8"/>
      <c r="C24" s="85"/>
      <c r="D24" s="86"/>
      <c r="E24" s="85"/>
      <c r="F24" s="86"/>
      <c r="G24" s="85"/>
      <c r="H24" s="86"/>
      <c r="I24" s="85"/>
      <c r="J24" s="94"/>
      <c r="K24" s="62"/>
      <c r="L24" s="17"/>
      <c r="M24" s="63"/>
      <c r="N24" s="64"/>
    </row>
    <row r="25" spans="2:14" ht="18" customHeight="1" x14ac:dyDescent="0.2">
      <c r="B25" s="6"/>
      <c r="C25" s="83"/>
      <c r="D25" s="84"/>
      <c r="E25" s="83"/>
      <c r="F25" s="84"/>
      <c r="G25" s="83"/>
      <c r="H25" s="84"/>
      <c r="I25" s="91"/>
      <c r="J25" s="92"/>
      <c r="K25" s="62"/>
      <c r="L25" s="17"/>
      <c r="M25" s="63"/>
      <c r="N25" s="64"/>
    </row>
    <row r="26" spans="2:14" ht="18" customHeight="1" x14ac:dyDescent="0.2">
      <c r="B26" s="8"/>
      <c r="C26" s="85"/>
      <c r="D26" s="86"/>
      <c r="E26" s="85"/>
      <c r="F26" s="86"/>
      <c r="G26" s="85"/>
      <c r="H26" s="86"/>
      <c r="I26" s="85"/>
      <c r="J26" s="94"/>
      <c r="K26" s="11"/>
      <c r="L26" s="17"/>
      <c r="M26" s="63"/>
      <c r="N26" s="64"/>
    </row>
    <row r="27" spans="2:14" ht="18" customHeight="1" x14ac:dyDescent="0.2">
      <c r="B27" s="6"/>
      <c r="C27" s="83"/>
      <c r="D27" s="84"/>
      <c r="E27" s="83"/>
      <c r="F27" s="84"/>
      <c r="G27" s="83"/>
      <c r="H27" s="84"/>
      <c r="I27" s="91"/>
      <c r="J27" s="92"/>
      <c r="K27" s="13"/>
      <c r="L27" s="19"/>
      <c r="M27" s="65"/>
      <c r="N27" s="66"/>
    </row>
    <row r="28" spans="2:14" ht="18" customHeight="1" x14ac:dyDescent="0.2">
      <c r="B28" s="8"/>
      <c r="C28" s="85"/>
      <c r="D28" s="86"/>
      <c r="E28" s="85"/>
      <c r="F28" s="86"/>
      <c r="G28" s="85"/>
      <c r="H28" s="86"/>
      <c r="I28" s="85"/>
      <c r="J28" s="94"/>
      <c r="K28" s="69" t="s">
        <v>16</v>
      </c>
      <c r="L28" s="16"/>
      <c r="M28" s="67"/>
      <c r="N28" s="68"/>
    </row>
    <row r="29" spans="2:14" ht="18" customHeight="1" x14ac:dyDescent="0.2">
      <c r="B29" s="6"/>
      <c r="C29" s="83"/>
      <c r="D29" s="84"/>
      <c r="E29" s="83"/>
      <c r="F29" s="84"/>
      <c r="G29" s="83"/>
      <c r="H29" s="84"/>
      <c r="I29" s="83"/>
      <c r="J29" s="99"/>
      <c r="K29" s="70"/>
      <c r="L29" s="17"/>
      <c r="M29" s="63"/>
      <c r="N29" s="64"/>
    </row>
    <row r="30" spans="2:14" ht="18" customHeight="1" x14ac:dyDescent="0.2">
      <c r="B30" s="8"/>
      <c r="C30" s="85"/>
      <c r="D30" s="86"/>
      <c r="E30" s="85"/>
      <c r="F30" s="86"/>
      <c r="G30" s="85"/>
      <c r="H30" s="86"/>
      <c r="I30" s="108"/>
      <c r="J30" s="109"/>
      <c r="K30" s="70"/>
      <c r="L30" s="17"/>
      <c r="M30" s="63"/>
      <c r="N30" s="64"/>
    </row>
    <row r="31" spans="2:14" ht="18" customHeight="1" x14ac:dyDescent="0.2">
      <c r="B31" s="6"/>
      <c r="C31" s="83"/>
      <c r="D31" s="84"/>
      <c r="E31" s="83"/>
      <c r="F31" s="84"/>
      <c r="G31" s="83"/>
      <c r="H31" s="84"/>
      <c r="I31" s="83"/>
      <c r="J31" s="99"/>
      <c r="K31" s="14"/>
      <c r="L31" s="17"/>
      <c r="M31" s="63"/>
      <c r="N31" s="64"/>
    </row>
    <row r="32" spans="2:14" ht="18" customHeight="1" x14ac:dyDescent="0.2">
      <c r="B32" s="8"/>
      <c r="C32" s="85"/>
      <c r="D32" s="86"/>
      <c r="E32" s="85"/>
      <c r="F32" s="86"/>
      <c r="G32" s="85"/>
      <c r="H32" s="86"/>
      <c r="I32" s="95"/>
      <c r="J32" s="96"/>
      <c r="K32" s="14"/>
      <c r="L32" s="17"/>
      <c r="M32" s="63"/>
      <c r="N32" s="64"/>
    </row>
    <row r="33" spans="2:14" ht="18" customHeight="1" x14ac:dyDescent="0.2">
      <c r="B33" s="7"/>
      <c r="C33" s="89"/>
      <c r="D33" s="90"/>
      <c r="E33" s="89"/>
      <c r="F33" s="90"/>
      <c r="G33" s="89"/>
      <c r="H33" s="90"/>
      <c r="I33" s="110"/>
      <c r="J33" s="111"/>
      <c r="K33" s="15"/>
      <c r="L33" s="20"/>
      <c r="M33" s="106"/>
      <c r="N33" s="107"/>
    </row>
  </sheetData>
  <mergeCells count="122">
    <mergeCell ref="C33:D33"/>
    <mergeCell ref="E33:F33"/>
    <mergeCell ref="G33:H33"/>
    <mergeCell ref="I33:J33"/>
    <mergeCell ref="M33:N33"/>
    <mergeCell ref="C31:D31"/>
    <mergeCell ref="E31:F31"/>
    <mergeCell ref="G31:H31"/>
    <mergeCell ref="I31:J31"/>
    <mergeCell ref="M31:N31"/>
    <mergeCell ref="C32:D32"/>
    <mergeCell ref="E32:F32"/>
    <mergeCell ref="G32:H32"/>
    <mergeCell ref="I32:J32"/>
    <mergeCell ref="M32:N32"/>
    <mergeCell ref="M29:N29"/>
    <mergeCell ref="C30:D30"/>
    <mergeCell ref="E30:F30"/>
    <mergeCell ref="G30:H30"/>
    <mergeCell ref="I30:J30"/>
    <mergeCell ref="M30:N30"/>
    <mergeCell ref="C28:D28"/>
    <mergeCell ref="E28:F28"/>
    <mergeCell ref="G28:H28"/>
    <mergeCell ref="I28:J28"/>
    <mergeCell ref="K28:K30"/>
    <mergeCell ref="M28:N28"/>
    <mergeCell ref="C29:D29"/>
    <mergeCell ref="E29:F29"/>
    <mergeCell ref="G29:H29"/>
    <mergeCell ref="I29:J29"/>
    <mergeCell ref="I25:J25"/>
    <mergeCell ref="M25:N25"/>
    <mergeCell ref="C26:D26"/>
    <mergeCell ref="E26:F26"/>
    <mergeCell ref="G26:H26"/>
    <mergeCell ref="I26:J26"/>
    <mergeCell ref="M26:N26"/>
    <mergeCell ref="C27:D27"/>
    <mergeCell ref="E27:F27"/>
    <mergeCell ref="G27:H27"/>
    <mergeCell ref="I27:J27"/>
    <mergeCell ref="M27:N27"/>
    <mergeCell ref="M22:N22"/>
    <mergeCell ref="C23:D23"/>
    <mergeCell ref="E23:F23"/>
    <mergeCell ref="G23:H23"/>
    <mergeCell ref="I23:J23"/>
    <mergeCell ref="M23:N23"/>
    <mergeCell ref="C21:D21"/>
    <mergeCell ref="E21:F21"/>
    <mergeCell ref="G21:H21"/>
    <mergeCell ref="I21:J21"/>
    <mergeCell ref="M21:N21"/>
    <mergeCell ref="C22:D22"/>
    <mergeCell ref="E22:F22"/>
    <mergeCell ref="G22:H22"/>
    <mergeCell ref="I22:J22"/>
    <mergeCell ref="K22:K25"/>
    <mergeCell ref="C24:D24"/>
    <mergeCell ref="E24:F24"/>
    <mergeCell ref="G24:H24"/>
    <mergeCell ref="I24:J24"/>
    <mergeCell ref="M24:N24"/>
    <mergeCell ref="C25:D25"/>
    <mergeCell ref="E25:F25"/>
    <mergeCell ref="G25:H25"/>
    <mergeCell ref="C19:D19"/>
    <mergeCell ref="E19:F19"/>
    <mergeCell ref="G19:H19"/>
    <mergeCell ref="I19:J19"/>
    <mergeCell ref="M19:N19"/>
    <mergeCell ref="C20:D20"/>
    <mergeCell ref="E20:F20"/>
    <mergeCell ref="G20:H20"/>
    <mergeCell ref="I20:J20"/>
    <mergeCell ref="M20:N20"/>
    <mergeCell ref="M17:N17"/>
    <mergeCell ref="C18:D18"/>
    <mergeCell ref="E18:F18"/>
    <mergeCell ref="G18:H18"/>
    <mergeCell ref="I18:J18"/>
    <mergeCell ref="M18:N18"/>
    <mergeCell ref="C16:D16"/>
    <mergeCell ref="E16:F16"/>
    <mergeCell ref="G16:H16"/>
    <mergeCell ref="I16:J16"/>
    <mergeCell ref="K16:K18"/>
    <mergeCell ref="M16:N16"/>
    <mergeCell ref="C17:D17"/>
    <mergeCell ref="E17:F17"/>
    <mergeCell ref="G17:H17"/>
    <mergeCell ref="I17:J17"/>
    <mergeCell ref="C14:D14"/>
    <mergeCell ref="E14:F14"/>
    <mergeCell ref="G14:H14"/>
    <mergeCell ref="I14:J14"/>
    <mergeCell ref="M14:N14"/>
    <mergeCell ref="C15:D15"/>
    <mergeCell ref="E15:F15"/>
    <mergeCell ref="G15:H15"/>
    <mergeCell ref="I15:J15"/>
    <mergeCell ref="M15:N15"/>
    <mergeCell ref="M10:N10"/>
    <mergeCell ref="B11:J12"/>
    <mergeCell ref="M11:N11"/>
    <mergeCell ref="M12:N12"/>
    <mergeCell ref="C13:D13"/>
    <mergeCell ref="E13:F13"/>
    <mergeCell ref="G13:H13"/>
    <mergeCell ref="I13:J13"/>
    <mergeCell ref="M13:N13"/>
    <mergeCell ref="B2:B10"/>
    <mergeCell ref="K2:M3"/>
    <mergeCell ref="K4:K6"/>
    <mergeCell ref="M4:N4"/>
    <mergeCell ref="M5:N5"/>
    <mergeCell ref="M6:N6"/>
    <mergeCell ref="M7:N7"/>
    <mergeCell ref="M8:N8"/>
    <mergeCell ref="M9:N9"/>
    <mergeCell ref="K10:K12"/>
  </mergeCells>
  <conditionalFormatting sqref="C4:H4">
    <cfRule type="expression" dxfId="29" priority="3" stopIfTrue="1">
      <formula>DAY(C4)&gt;8</formula>
    </cfRule>
  </conditionalFormatting>
  <conditionalFormatting sqref="C8:I10">
    <cfRule type="expression" dxfId="28" priority="2" stopIfTrue="1">
      <formula>AND(DAY(C8)&gt;=1,DAY(C8)&lt;=15)</formula>
    </cfRule>
  </conditionalFormatting>
  <conditionalFormatting sqref="C4:I9">
    <cfRule type="expression" dxfId="27" priority="4">
      <formula>VLOOKUP(DAY(C4),DíasDeTareas,1,FALSE)=DAY(C4)</formula>
    </cfRule>
  </conditionalFormatting>
  <conditionalFormatting sqref="B14:J33">
    <cfRule type="expression" dxfId="26" priority="1">
      <formula>B14&lt;&gt;""</formula>
    </cfRule>
  </conditionalFormatting>
  <printOptions horizontalCentered="1"/>
  <pageMargins left="0.5" right="0.5" top="0.5" bottom="0.5" header="0.3" footer="0.3"/>
  <pageSetup scale="63"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AO33"/>
  <sheetViews>
    <sheetView showGridLines="0" topLeftCell="A13" zoomScaleNormal="100" zoomScalePageLayoutView="84" workbookViewId="0">
      <selection activeCell="B29" sqref="B29:J32"/>
    </sheetView>
  </sheetViews>
  <sheetFormatPr baseColWidth="10" defaultColWidth="8.7109375" defaultRowHeight="16.5" customHeight="1" x14ac:dyDescent="0.2"/>
  <cols>
    <col min="1" max="1" width="2.28515625" style="1" customWidth="1"/>
    <col min="2" max="2" width="12.7109375" style="1" customWidth="1"/>
    <col min="3" max="10" width="6.7109375" style="1" customWidth="1"/>
    <col min="11" max="11" width="7.28515625" style="1" customWidth="1"/>
    <col min="12" max="12" width="3.85546875" customWidth="1"/>
    <col min="13" max="13" width="51.42578125" style="1" customWidth="1"/>
    <col min="14" max="14" width="10.7109375" style="1" customWidth="1"/>
    <col min="15" max="15" width="2.28515625" customWidth="1"/>
    <col min="16" max="22" width="8.85546875" customWidth="1"/>
    <col min="42" max="16384" width="8.7109375" style="1"/>
  </cols>
  <sheetData>
    <row r="1" spans="1:14" ht="11.25" customHeight="1" x14ac:dyDescent="0.2"/>
    <row r="2" spans="1:14" ht="18" customHeight="1" x14ac:dyDescent="0.2">
      <c r="A2" s="4"/>
      <c r="B2" s="100" t="s">
        <v>21</v>
      </c>
      <c r="C2" s="21"/>
      <c r="D2" s="21"/>
      <c r="E2" s="21"/>
      <c r="F2" s="21"/>
      <c r="G2" s="21"/>
      <c r="H2" s="21"/>
      <c r="I2" s="21"/>
      <c r="J2" s="22"/>
      <c r="K2" s="74" t="s">
        <v>3</v>
      </c>
      <c r="L2" s="75">
        <v>2013</v>
      </c>
      <c r="M2" s="75"/>
      <c r="N2" s="25"/>
    </row>
    <row r="3" spans="1:14" ht="21" customHeight="1" x14ac:dyDescent="0.2">
      <c r="A3" s="4"/>
      <c r="B3" s="101"/>
      <c r="C3" s="2" t="s">
        <v>5</v>
      </c>
      <c r="D3" s="2" t="s">
        <v>1</v>
      </c>
      <c r="E3" s="2" t="s">
        <v>6</v>
      </c>
      <c r="F3" s="2" t="s">
        <v>7</v>
      </c>
      <c r="G3" s="2" t="s">
        <v>8</v>
      </c>
      <c r="H3" s="2" t="s">
        <v>0</v>
      </c>
      <c r="I3" s="2" t="s">
        <v>9</v>
      </c>
      <c r="J3" s="5"/>
      <c r="K3" s="76"/>
      <c r="L3" s="77"/>
      <c r="M3" s="77"/>
      <c r="N3" s="26"/>
    </row>
    <row r="4" spans="1:14" ht="18" customHeight="1" x14ac:dyDescent="0.2">
      <c r="A4" s="4"/>
      <c r="B4" s="101"/>
      <c r="C4" s="10">
        <f>IF(DAY(JulDom1)=1,JulDom1-6,JulDom1+1)</f>
        <v>43276</v>
      </c>
      <c r="D4" s="10">
        <f>IF(DAY(JulDom1)=1,JulDom1-5,JulDom1+2)</f>
        <v>43277</v>
      </c>
      <c r="E4" s="10">
        <f>IF(DAY(JulDom1)=1,JulDom1-4,JulDom1+3)</f>
        <v>43278</v>
      </c>
      <c r="F4" s="10">
        <f>IF(DAY(JulDom1)=1,JulDom1-3,JulDom1+4)</f>
        <v>43279</v>
      </c>
      <c r="G4" s="10">
        <f>IF(DAY(JulDom1)=1,JulDom1-2,JulDom1+5)</f>
        <v>43280</v>
      </c>
      <c r="H4" s="10">
        <f>IF(DAY(JulDom1)=1,JulDom1-1,JulDom1+6)</f>
        <v>43281</v>
      </c>
      <c r="I4" s="10">
        <f>IF(DAY(JulDom1)=1,JulDom1,JulDom1+7)</f>
        <v>43282</v>
      </c>
      <c r="J4" s="5"/>
      <c r="K4" s="78" t="s">
        <v>12</v>
      </c>
      <c r="L4" s="16"/>
      <c r="M4" s="79"/>
      <c r="N4" s="80"/>
    </row>
    <row r="5" spans="1:14" ht="18" customHeight="1" x14ac:dyDescent="0.2">
      <c r="A5" s="4"/>
      <c r="B5" s="101"/>
      <c r="C5" s="10">
        <f>IF(DAY(JulDom1)=1,JulDom1+1,JulDom1+8)</f>
        <v>43283</v>
      </c>
      <c r="D5" s="10">
        <f>IF(DAY(JulDom1)=1,JulDom1+2,JulDom1+9)</f>
        <v>43284</v>
      </c>
      <c r="E5" s="10">
        <f>IF(DAY(JulDom1)=1,JulDom1+3,JulDom1+10)</f>
        <v>43285</v>
      </c>
      <c r="F5" s="10">
        <f>IF(DAY(JulDom1)=1,JulDom1+4,JulDom1+11)</f>
        <v>43286</v>
      </c>
      <c r="G5" s="10">
        <f>IF(DAY(JulDom1)=1,JulDom1+5,JulDom1+12)</f>
        <v>43287</v>
      </c>
      <c r="H5" s="10">
        <f>IF(DAY(JulDom1)=1,JulDom1+6,JulDom1+13)</f>
        <v>43288</v>
      </c>
      <c r="I5" s="10">
        <f>IF(DAY(JulDom1)=1,JulDom1+7,JulDom1+14)</f>
        <v>43289</v>
      </c>
      <c r="J5" s="5"/>
      <c r="K5" s="70"/>
      <c r="L5" s="17"/>
      <c r="M5" s="63"/>
      <c r="N5" s="64"/>
    </row>
    <row r="6" spans="1:14" ht="18" customHeight="1" x14ac:dyDescent="0.2">
      <c r="A6" s="4"/>
      <c r="B6" s="101"/>
      <c r="C6" s="10">
        <f>IF(DAY(JulDom1)=1,JulDom1+8,JulDom1+15)</f>
        <v>43290</v>
      </c>
      <c r="D6" s="10">
        <f>IF(DAY(JulDom1)=1,JulDom1+9,JulDom1+16)</f>
        <v>43291</v>
      </c>
      <c r="E6" s="10">
        <f>IF(DAY(JulDom1)=1,JulDom1+10,JulDom1+17)</f>
        <v>43292</v>
      </c>
      <c r="F6" s="10">
        <f>IF(DAY(JulDom1)=1,JulDom1+11,JulDom1+18)</f>
        <v>43293</v>
      </c>
      <c r="G6" s="10">
        <f>IF(DAY(JulDom1)=1,JulDom1+12,JulDom1+19)</f>
        <v>43294</v>
      </c>
      <c r="H6" s="10">
        <f>IF(DAY(JulDom1)=1,JulDom1+13,JulDom1+20)</f>
        <v>43295</v>
      </c>
      <c r="I6" s="10">
        <f>IF(DAY(JulDom1)=1,JulDom1+14,JulDom1+21)</f>
        <v>43296</v>
      </c>
      <c r="J6" s="5"/>
      <c r="K6" s="70"/>
      <c r="L6" s="17"/>
      <c r="M6" s="63"/>
      <c r="N6" s="64"/>
    </row>
    <row r="7" spans="1:14" ht="18" customHeight="1" x14ac:dyDescent="0.2">
      <c r="A7" s="4"/>
      <c r="B7" s="101"/>
      <c r="C7" s="10">
        <f>IF(DAY(JulDom1)=1,JulDom1+15,JulDom1+22)</f>
        <v>43297</v>
      </c>
      <c r="D7" s="10">
        <f>IF(DAY(JulDom1)=1,JulDom1+16,JulDom1+23)</f>
        <v>43298</v>
      </c>
      <c r="E7" s="10">
        <f>IF(DAY(JulDom1)=1,JulDom1+17,JulDom1+24)</f>
        <v>43299</v>
      </c>
      <c r="F7" s="10">
        <f>IF(DAY(JulDom1)=1,JulDom1+18,JulDom1+25)</f>
        <v>43300</v>
      </c>
      <c r="G7" s="10">
        <f>IF(DAY(JulDom1)=1,JulDom1+19,JulDom1+26)</f>
        <v>43301</v>
      </c>
      <c r="H7" s="10">
        <f>IF(DAY(JulDom1)=1,JulDom1+20,JulDom1+27)</f>
        <v>43302</v>
      </c>
      <c r="I7" s="10">
        <f>IF(DAY(JulDom1)=1,JulDom1+21,JulDom1+28)</f>
        <v>43303</v>
      </c>
      <c r="J7" s="5"/>
      <c r="K7" s="11"/>
      <c r="L7" s="17"/>
      <c r="M7" s="63"/>
      <c r="N7" s="64"/>
    </row>
    <row r="8" spans="1:14" ht="18.75" customHeight="1" x14ac:dyDescent="0.2">
      <c r="A8" s="4"/>
      <c r="B8" s="101"/>
      <c r="C8" s="10">
        <f>IF(DAY(JulDom1)=1,JulDom1+22,JulDom1+29)</f>
        <v>43304</v>
      </c>
      <c r="D8" s="10">
        <f>IF(DAY(JulDom1)=1,JulDom1+23,JulDom1+30)</f>
        <v>43305</v>
      </c>
      <c r="E8" s="10">
        <f>IF(DAY(JulDom1)=1,JulDom1+24,JulDom1+31)</f>
        <v>43306</v>
      </c>
      <c r="F8" s="10">
        <f>IF(DAY(JulDom1)=1,JulDom1+25,JulDom1+32)</f>
        <v>43307</v>
      </c>
      <c r="G8" s="10">
        <f>IF(DAY(JulDom1)=1,JulDom1+26,JulDom1+33)</f>
        <v>43308</v>
      </c>
      <c r="H8" s="10">
        <f>IF(DAY(JulDom1)=1,JulDom1+27,JulDom1+34)</f>
        <v>43309</v>
      </c>
      <c r="I8" s="10">
        <f>IF(DAY(JulDom1)=1,JulDom1+28,JulDom1+35)</f>
        <v>43310</v>
      </c>
      <c r="J8" s="5"/>
      <c r="K8" s="11"/>
      <c r="L8" s="17"/>
      <c r="M8" s="63"/>
      <c r="N8" s="64"/>
    </row>
    <row r="9" spans="1:14" ht="18" customHeight="1" x14ac:dyDescent="0.2">
      <c r="A9" s="4"/>
      <c r="B9" s="101"/>
      <c r="C9" s="10">
        <f>IF(DAY(JulDom1)=1,JulDom1+29,JulDom1+36)</f>
        <v>43311</v>
      </c>
      <c r="D9" s="10">
        <f>IF(DAY(JulDom1)=1,JulDom1+30,JulDom1+37)</f>
        <v>43312</v>
      </c>
      <c r="E9" s="10">
        <f>IF(DAY(JulDom1)=1,JulDom1+31,JulDom1+38)</f>
        <v>43313</v>
      </c>
      <c r="F9" s="10">
        <f>IF(DAY(JulDom1)=1,JulDom1+32,JulDom1+39)</f>
        <v>43314</v>
      </c>
      <c r="G9" s="10">
        <f>IF(DAY(JulDom1)=1,JulDom1+33,JulDom1+40)</f>
        <v>43315</v>
      </c>
      <c r="H9" s="10">
        <f>IF(DAY(JulDom1)=1,JulDom1+34,JulDom1+41)</f>
        <v>43316</v>
      </c>
      <c r="I9" s="10">
        <f>IF(DAY(JulDom1)=1,JulDom1+35,JulDom1+42)</f>
        <v>43317</v>
      </c>
      <c r="J9" s="5"/>
      <c r="K9" s="12"/>
      <c r="L9" s="18"/>
      <c r="M9" s="65"/>
      <c r="N9" s="66"/>
    </row>
    <row r="10" spans="1:14" ht="18" customHeight="1" x14ac:dyDescent="0.2">
      <c r="A10" s="4"/>
      <c r="B10" s="102"/>
      <c r="C10" s="23"/>
      <c r="D10" s="23"/>
      <c r="E10" s="23"/>
      <c r="F10" s="23"/>
      <c r="G10" s="23"/>
      <c r="H10" s="23"/>
      <c r="I10" s="23"/>
      <c r="J10" s="24"/>
      <c r="K10" s="69" t="s">
        <v>13</v>
      </c>
      <c r="L10" s="16"/>
      <c r="M10" s="67"/>
      <c r="N10" s="68"/>
    </row>
    <row r="11" spans="1:14" ht="18" customHeight="1" x14ac:dyDescent="0.2">
      <c r="A11" s="4"/>
      <c r="B11" s="103" t="s">
        <v>11</v>
      </c>
      <c r="C11" s="104"/>
      <c r="D11" s="104"/>
      <c r="E11" s="104"/>
      <c r="F11" s="104"/>
      <c r="G11" s="104"/>
      <c r="H11" s="104"/>
      <c r="I11" s="104"/>
      <c r="J11" s="105"/>
      <c r="K11" s="70"/>
      <c r="L11" s="17"/>
      <c r="M11" s="63"/>
      <c r="N11" s="64"/>
    </row>
    <row r="12" spans="1:14" ht="18" customHeight="1" x14ac:dyDescent="0.2">
      <c r="A12" s="4"/>
      <c r="B12" s="103"/>
      <c r="C12" s="104"/>
      <c r="D12" s="104"/>
      <c r="E12" s="104"/>
      <c r="F12" s="104"/>
      <c r="G12" s="104"/>
      <c r="H12" s="104"/>
      <c r="I12" s="104"/>
      <c r="J12" s="105"/>
      <c r="K12" s="70"/>
      <c r="L12" s="17"/>
      <c r="M12" s="63"/>
      <c r="N12" s="64"/>
    </row>
    <row r="13" spans="1:14" ht="18" customHeight="1" x14ac:dyDescent="0.2">
      <c r="B13" s="3" t="s">
        <v>12</v>
      </c>
      <c r="C13" s="71" t="s">
        <v>13</v>
      </c>
      <c r="D13" s="73"/>
      <c r="E13" s="71" t="s">
        <v>14</v>
      </c>
      <c r="F13" s="73"/>
      <c r="G13" s="71" t="s">
        <v>15</v>
      </c>
      <c r="H13" s="73"/>
      <c r="I13" s="71" t="s">
        <v>16</v>
      </c>
      <c r="J13" s="72"/>
      <c r="K13" s="11"/>
      <c r="L13" s="17"/>
      <c r="M13" s="63"/>
      <c r="N13" s="64"/>
    </row>
    <row r="14" spans="1:14" ht="18" customHeight="1" x14ac:dyDescent="0.2">
      <c r="B14" s="8"/>
      <c r="C14" s="85"/>
      <c r="D14" s="86"/>
      <c r="E14" s="85"/>
      <c r="F14" s="86"/>
      <c r="G14" s="85"/>
      <c r="H14" s="86"/>
      <c r="I14" s="85"/>
      <c r="J14" s="94"/>
      <c r="K14" s="11"/>
      <c r="L14" s="17"/>
      <c r="M14" s="63"/>
      <c r="N14" s="64"/>
    </row>
    <row r="15" spans="1:14" ht="18" customHeight="1" x14ac:dyDescent="0.2">
      <c r="B15" s="6"/>
      <c r="C15" s="83"/>
      <c r="D15" s="84"/>
      <c r="E15" s="83"/>
      <c r="F15" s="84"/>
      <c r="G15" s="83"/>
      <c r="H15" s="84"/>
      <c r="I15" s="91"/>
      <c r="J15" s="92"/>
      <c r="K15" s="13"/>
      <c r="L15" s="19"/>
      <c r="M15" s="65"/>
      <c r="N15" s="66"/>
    </row>
    <row r="16" spans="1:14" ht="18" customHeight="1" x14ac:dyDescent="0.2">
      <c r="B16" s="8"/>
      <c r="C16" s="85"/>
      <c r="D16" s="86"/>
      <c r="E16" s="85"/>
      <c r="F16" s="86"/>
      <c r="G16" s="85"/>
      <c r="H16" s="86"/>
      <c r="I16" s="95"/>
      <c r="J16" s="96"/>
      <c r="K16" s="61" t="s">
        <v>14</v>
      </c>
      <c r="L16" s="16"/>
      <c r="M16" s="67"/>
      <c r="N16" s="68"/>
    </row>
    <row r="17" spans="2:14" ht="18" customHeight="1" x14ac:dyDescent="0.2">
      <c r="B17" s="6"/>
      <c r="C17" s="83"/>
      <c r="D17" s="84"/>
      <c r="E17" s="83"/>
      <c r="F17" s="84"/>
      <c r="G17" s="83"/>
      <c r="H17" s="84"/>
      <c r="I17" s="91"/>
      <c r="J17" s="92"/>
      <c r="K17" s="62"/>
      <c r="L17" s="17"/>
      <c r="M17" s="63"/>
      <c r="N17" s="64"/>
    </row>
    <row r="18" spans="2:14" ht="18" customHeight="1" x14ac:dyDescent="0.2">
      <c r="B18" s="9"/>
      <c r="C18" s="87"/>
      <c r="D18" s="88"/>
      <c r="E18" s="87"/>
      <c r="F18" s="88"/>
      <c r="G18" s="87"/>
      <c r="H18" s="88"/>
      <c r="I18" s="87"/>
      <c r="J18" s="93"/>
      <c r="K18" s="62"/>
      <c r="L18" s="17"/>
      <c r="M18" s="63"/>
      <c r="N18" s="64"/>
    </row>
    <row r="19" spans="2:14" ht="18" customHeight="1" x14ac:dyDescent="0.2">
      <c r="B19" s="6"/>
      <c r="C19" s="83"/>
      <c r="D19" s="84"/>
      <c r="E19" s="83"/>
      <c r="F19" s="84"/>
      <c r="G19" s="83"/>
      <c r="H19" s="84"/>
      <c r="I19" s="91"/>
      <c r="J19" s="92"/>
      <c r="K19" s="11"/>
      <c r="L19" s="17"/>
      <c r="M19" s="63"/>
      <c r="N19" s="64"/>
    </row>
    <row r="20" spans="2:14" ht="18" customHeight="1" x14ac:dyDescent="0.2">
      <c r="B20" s="8"/>
      <c r="C20" s="85"/>
      <c r="D20" s="86"/>
      <c r="E20" s="85"/>
      <c r="F20" s="86"/>
      <c r="G20" s="85"/>
      <c r="H20" s="86"/>
      <c r="I20" s="85"/>
      <c r="J20" s="94"/>
      <c r="K20" s="11"/>
      <c r="L20" s="17"/>
      <c r="M20" s="63"/>
      <c r="N20" s="64"/>
    </row>
    <row r="21" spans="2:14" ht="18" customHeight="1" x14ac:dyDescent="0.2">
      <c r="B21" s="6"/>
      <c r="C21" s="83"/>
      <c r="D21" s="84"/>
      <c r="E21" s="83"/>
      <c r="F21" s="84"/>
      <c r="G21" s="83"/>
      <c r="H21" s="84"/>
      <c r="I21" s="97"/>
      <c r="J21" s="98"/>
      <c r="K21" s="13"/>
      <c r="L21" s="19"/>
      <c r="M21" s="65"/>
      <c r="N21" s="66"/>
    </row>
    <row r="22" spans="2:14" ht="18" customHeight="1" x14ac:dyDescent="0.2">
      <c r="B22" s="8"/>
      <c r="C22" s="85"/>
      <c r="D22" s="86"/>
      <c r="E22" s="85"/>
      <c r="F22" s="86"/>
      <c r="G22" s="85"/>
      <c r="H22" s="86"/>
      <c r="I22" s="85"/>
      <c r="J22" s="94"/>
      <c r="K22" s="61" t="s">
        <v>15</v>
      </c>
      <c r="L22" s="16"/>
      <c r="M22" s="67"/>
      <c r="N22" s="68"/>
    </row>
    <row r="23" spans="2:14" ht="18" customHeight="1" x14ac:dyDescent="0.2">
      <c r="B23" s="6"/>
      <c r="C23" s="83"/>
      <c r="D23" s="84"/>
      <c r="E23" s="83"/>
      <c r="F23" s="84"/>
      <c r="G23" s="83"/>
      <c r="H23" s="84"/>
      <c r="I23" s="91"/>
      <c r="J23" s="92"/>
      <c r="K23" s="62"/>
      <c r="L23" s="17"/>
      <c r="M23" s="63"/>
      <c r="N23" s="64"/>
    </row>
    <row r="24" spans="2:14" ht="18" customHeight="1" x14ac:dyDescent="0.2">
      <c r="B24" s="8"/>
      <c r="C24" s="85"/>
      <c r="D24" s="86"/>
      <c r="E24" s="85"/>
      <c r="F24" s="86"/>
      <c r="G24" s="85"/>
      <c r="H24" s="86"/>
      <c r="I24" s="85"/>
      <c r="J24" s="94"/>
      <c r="K24" s="62"/>
      <c r="L24" s="17"/>
      <c r="M24" s="63"/>
      <c r="N24" s="64"/>
    </row>
    <row r="25" spans="2:14" ht="18" customHeight="1" x14ac:dyDescent="0.2">
      <c r="B25" s="6"/>
      <c r="C25" s="83"/>
      <c r="D25" s="84"/>
      <c r="E25" s="83"/>
      <c r="F25" s="84"/>
      <c r="G25" s="83"/>
      <c r="H25" s="84"/>
      <c r="I25" s="91"/>
      <c r="J25" s="92"/>
      <c r="K25" s="62"/>
      <c r="L25" s="17"/>
      <c r="M25" s="63"/>
      <c r="N25" s="64"/>
    </row>
    <row r="26" spans="2:14" ht="18" customHeight="1" x14ac:dyDescent="0.2">
      <c r="B26" s="8"/>
      <c r="C26" s="85"/>
      <c r="D26" s="86"/>
      <c r="E26" s="85"/>
      <c r="F26" s="86"/>
      <c r="G26" s="85"/>
      <c r="H26" s="86"/>
      <c r="I26" s="85"/>
      <c r="J26" s="94"/>
      <c r="K26" s="11"/>
      <c r="L26" s="17"/>
      <c r="M26" s="63"/>
      <c r="N26" s="64"/>
    </row>
    <row r="27" spans="2:14" ht="18" customHeight="1" x14ac:dyDescent="0.2">
      <c r="B27" s="6"/>
      <c r="C27" s="83"/>
      <c r="D27" s="84"/>
      <c r="E27" s="83"/>
      <c r="F27" s="84"/>
      <c r="G27" s="83"/>
      <c r="H27" s="84"/>
      <c r="I27" s="91"/>
      <c r="J27" s="92"/>
      <c r="K27" s="13"/>
      <c r="L27" s="19"/>
      <c r="M27" s="65"/>
      <c r="N27" s="66"/>
    </row>
    <row r="28" spans="2:14" ht="18" customHeight="1" x14ac:dyDescent="0.2">
      <c r="B28" s="8"/>
      <c r="C28" s="85"/>
      <c r="D28" s="86"/>
      <c r="E28" s="85"/>
      <c r="F28" s="86"/>
      <c r="G28" s="85"/>
      <c r="H28" s="86"/>
      <c r="I28" s="85"/>
      <c r="J28" s="94"/>
      <c r="K28" s="69" t="s">
        <v>16</v>
      </c>
      <c r="L28" s="16"/>
      <c r="M28" s="67"/>
      <c r="N28" s="68"/>
    </row>
    <row r="29" spans="2:14" ht="18" customHeight="1" x14ac:dyDescent="0.2">
      <c r="B29" s="6"/>
      <c r="C29" s="83"/>
      <c r="D29" s="84"/>
      <c r="E29" s="83"/>
      <c r="F29" s="84"/>
      <c r="G29" s="83"/>
      <c r="H29" s="84"/>
      <c r="I29" s="83"/>
      <c r="J29" s="99"/>
      <c r="K29" s="70"/>
      <c r="L29" s="17"/>
      <c r="M29" s="63"/>
      <c r="N29" s="64"/>
    </row>
    <row r="30" spans="2:14" ht="18" customHeight="1" x14ac:dyDescent="0.2">
      <c r="B30" s="8"/>
      <c r="C30" s="85"/>
      <c r="D30" s="86"/>
      <c r="E30" s="85"/>
      <c r="F30" s="86"/>
      <c r="G30" s="85"/>
      <c r="H30" s="86"/>
      <c r="I30" s="108"/>
      <c r="J30" s="109"/>
      <c r="K30" s="70"/>
      <c r="L30" s="17"/>
      <c r="M30" s="63"/>
      <c r="N30" s="64"/>
    </row>
    <row r="31" spans="2:14" ht="18" customHeight="1" x14ac:dyDescent="0.2">
      <c r="B31" s="6"/>
      <c r="C31" s="83"/>
      <c r="D31" s="84"/>
      <c r="E31" s="83"/>
      <c r="F31" s="84"/>
      <c r="G31" s="83"/>
      <c r="H31" s="84"/>
      <c r="I31" s="83"/>
      <c r="J31" s="99"/>
      <c r="K31" s="14"/>
      <c r="L31" s="17"/>
      <c r="M31" s="63"/>
      <c r="N31" s="64"/>
    </row>
    <row r="32" spans="2:14" ht="18" customHeight="1" x14ac:dyDescent="0.2">
      <c r="B32" s="8"/>
      <c r="C32" s="85"/>
      <c r="D32" s="86"/>
      <c r="E32" s="85"/>
      <c r="F32" s="86"/>
      <c r="G32" s="85"/>
      <c r="H32" s="86"/>
      <c r="I32" s="95"/>
      <c r="J32" s="96"/>
      <c r="K32" s="14"/>
      <c r="L32" s="17"/>
      <c r="M32" s="63"/>
      <c r="N32" s="64"/>
    </row>
    <row r="33" spans="2:14" ht="18" customHeight="1" x14ac:dyDescent="0.2">
      <c r="B33" s="7"/>
      <c r="C33" s="89"/>
      <c r="D33" s="90"/>
      <c r="E33" s="89"/>
      <c r="F33" s="90"/>
      <c r="G33" s="89"/>
      <c r="H33" s="90"/>
      <c r="I33" s="110"/>
      <c r="J33" s="111"/>
      <c r="K33" s="15"/>
      <c r="L33" s="20"/>
      <c r="M33" s="106"/>
      <c r="N33" s="107"/>
    </row>
  </sheetData>
  <mergeCells count="122">
    <mergeCell ref="C33:D33"/>
    <mergeCell ref="E33:F33"/>
    <mergeCell ref="G33:H33"/>
    <mergeCell ref="I33:J33"/>
    <mergeCell ref="M33:N33"/>
    <mergeCell ref="C31:D31"/>
    <mergeCell ref="E31:F31"/>
    <mergeCell ref="G31:H31"/>
    <mergeCell ref="I31:J31"/>
    <mergeCell ref="M31:N31"/>
    <mergeCell ref="C32:D32"/>
    <mergeCell ref="E32:F32"/>
    <mergeCell ref="G32:H32"/>
    <mergeCell ref="I32:J32"/>
    <mergeCell ref="M32:N32"/>
    <mergeCell ref="M29:N29"/>
    <mergeCell ref="C30:D30"/>
    <mergeCell ref="E30:F30"/>
    <mergeCell ref="G30:H30"/>
    <mergeCell ref="I30:J30"/>
    <mergeCell ref="M30:N30"/>
    <mergeCell ref="C28:D28"/>
    <mergeCell ref="E28:F28"/>
    <mergeCell ref="G28:H28"/>
    <mergeCell ref="I28:J28"/>
    <mergeCell ref="K28:K30"/>
    <mergeCell ref="M28:N28"/>
    <mergeCell ref="C29:D29"/>
    <mergeCell ref="E29:F29"/>
    <mergeCell ref="G29:H29"/>
    <mergeCell ref="I29:J29"/>
    <mergeCell ref="I25:J25"/>
    <mergeCell ref="M25:N25"/>
    <mergeCell ref="C26:D26"/>
    <mergeCell ref="E26:F26"/>
    <mergeCell ref="G26:H26"/>
    <mergeCell ref="I26:J26"/>
    <mergeCell ref="M26:N26"/>
    <mergeCell ref="C27:D27"/>
    <mergeCell ref="E27:F27"/>
    <mergeCell ref="G27:H27"/>
    <mergeCell ref="I27:J27"/>
    <mergeCell ref="M27:N27"/>
    <mergeCell ref="M22:N22"/>
    <mergeCell ref="C23:D23"/>
    <mergeCell ref="E23:F23"/>
    <mergeCell ref="G23:H23"/>
    <mergeCell ref="I23:J23"/>
    <mergeCell ref="M23:N23"/>
    <mergeCell ref="C21:D21"/>
    <mergeCell ref="E21:F21"/>
    <mergeCell ref="G21:H21"/>
    <mergeCell ref="I21:J21"/>
    <mergeCell ref="M21:N21"/>
    <mergeCell ref="C22:D22"/>
    <mergeCell ref="E22:F22"/>
    <mergeCell ref="G22:H22"/>
    <mergeCell ref="I22:J22"/>
    <mergeCell ref="K22:K25"/>
    <mergeCell ref="C24:D24"/>
    <mergeCell ref="E24:F24"/>
    <mergeCell ref="G24:H24"/>
    <mergeCell ref="I24:J24"/>
    <mergeCell ref="M24:N24"/>
    <mergeCell ref="C25:D25"/>
    <mergeCell ref="E25:F25"/>
    <mergeCell ref="G25:H25"/>
    <mergeCell ref="C19:D19"/>
    <mergeCell ref="E19:F19"/>
    <mergeCell ref="G19:H19"/>
    <mergeCell ref="I19:J19"/>
    <mergeCell ref="M19:N19"/>
    <mergeCell ref="C20:D20"/>
    <mergeCell ref="E20:F20"/>
    <mergeCell ref="G20:H20"/>
    <mergeCell ref="I20:J20"/>
    <mergeCell ref="M20:N20"/>
    <mergeCell ref="M17:N17"/>
    <mergeCell ref="C18:D18"/>
    <mergeCell ref="E18:F18"/>
    <mergeCell ref="G18:H18"/>
    <mergeCell ref="I18:J18"/>
    <mergeCell ref="M18:N18"/>
    <mergeCell ref="C16:D16"/>
    <mergeCell ref="E16:F16"/>
    <mergeCell ref="G16:H16"/>
    <mergeCell ref="I16:J16"/>
    <mergeCell ref="K16:K18"/>
    <mergeCell ref="M16:N16"/>
    <mergeCell ref="C17:D17"/>
    <mergeCell ref="E17:F17"/>
    <mergeCell ref="G17:H17"/>
    <mergeCell ref="I17:J17"/>
    <mergeCell ref="C14:D14"/>
    <mergeCell ref="E14:F14"/>
    <mergeCell ref="G14:H14"/>
    <mergeCell ref="I14:J14"/>
    <mergeCell ref="M14:N14"/>
    <mergeCell ref="C15:D15"/>
    <mergeCell ref="E15:F15"/>
    <mergeCell ref="G15:H15"/>
    <mergeCell ref="I15:J15"/>
    <mergeCell ref="M15:N15"/>
    <mergeCell ref="M10:N10"/>
    <mergeCell ref="B11:J12"/>
    <mergeCell ref="M11:N11"/>
    <mergeCell ref="M12:N12"/>
    <mergeCell ref="C13:D13"/>
    <mergeCell ref="E13:F13"/>
    <mergeCell ref="G13:H13"/>
    <mergeCell ref="I13:J13"/>
    <mergeCell ref="M13:N13"/>
    <mergeCell ref="B2:B10"/>
    <mergeCell ref="K2:M3"/>
    <mergeCell ref="K4:K6"/>
    <mergeCell ref="M4:N4"/>
    <mergeCell ref="M5:N5"/>
    <mergeCell ref="M6:N6"/>
    <mergeCell ref="M7:N7"/>
    <mergeCell ref="M8:N8"/>
    <mergeCell ref="M9:N9"/>
    <mergeCell ref="K10:K12"/>
  </mergeCells>
  <conditionalFormatting sqref="C4:H4">
    <cfRule type="expression" dxfId="25" priority="3" stopIfTrue="1">
      <formula>DAY(C4)&gt;8</formula>
    </cfRule>
  </conditionalFormatting>
  <conditionalFormatting sqref="C8:I10">
    <cfRule type="expression" dxfId="24" priority="2" stopIfTrue="1">
      <formula>AND(DAY(C8)&gt;=1,DAY(C8)&lt;=15)</formula>
    </cfRule>
  </conditionalFormatting>
  <conditionalFormatting sqref="C4:I9">
    <cfRule type="expression" dxfId="23" priority="4">
      <formula>VLOOKUP(DAY(C4),DíasDeTareas,1,FALSE)=DAY(C4)</formula>
    </cfRule>
  </conditionalFormatting>
  <conditionalFormatting sqref="B14:J33">
    <cfRule type="expression" dxfId="22" priority="1">
      <formula>B14&lt;&gt;""</formula>
    </cfRule>
  </conditionalFormatting>
  <printOptions horizontalCentered="1"/>
  <pageMargins left="0.5" right="0.5" top="0.5" bottom="0.5" header="0.3" footer="0.3"/>
  <pageSetup scale="63"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AO33"/>
  <sheetViews>
    <sheetView showGridLines="0" topLeftCell="A9" zoomScaleNormal="100" zoomScalePageLayoutView="84" workbookViewId="0">
      <selection activeCell="B14" sqref="B14:J33"/>
    </sheetView>
  </sheetViews>
  <sheetFormatPr baseColWidth="10" defaultColWidth="8.7109375" defaultRowHeight="16.5" customHeight="1" x14ac:dyDescent="0.2"/>
  <cols>
    <col min="1" max="1" width="2.28515625" style="1" customWidth="1"/>
    <col min="2" max="2" width="12.7109375" style="1" customWidth="1"/>
    <col min="3" max="10" width="6.7109375" style="1" customWidth="1"/>
    <col min="11" max="11" width="7.28515625" style="1" customWidth="1"/>
    <col min="12" max="12" width="3.85546875" customWidth="1"/>
    <col min="13" max="13" width="51.42578125" style="1" customWidth="1"/>
    <col min="14" max="14" width="10.7109375" style="1" customWidth="1"/>
    <col min="15" max="15" width="2.28515625" customWidth="1"/>
    <col min="16" max="22" width="8.85546875" customWidth="1"/>
    <col min="42" max="16384" width="8.7109375" style="1"/>
  </cols>
  <sheetData>
    <row r="1" spans="1:14" ht="11.25" customHeight="1" x14ac:dyDescent="0.2">
      <c r="A1" s="2"/>
      <c r="B1" s="2"/>
      <c r="C1" s="2"/>
      <c r="D1" s="2"/>
      <c r="E1" s="2"/>
      <c r="F1" s="2"/>
      <c r="G1" s="2"/>
    </row>
    <row r="2" spans="1:14" ht="18" customHeight="1" x14ac:dyDescent="0.2">
      <c r="A2" s="4"/>
      <c r="B2" s="100" t="s">
        <v>20</v>
      </c>
      <c r="C2" s="21"/>
      <c r="D2" s="21"/>
      <c r="E2" s="21"/>
      <c r="F2" s="21"/>
      <c r="G2" s="21"/>
      <c r="H2" s="21"/>
      <c r="I2" s="21"/>
      <c r="J2" s="22"/>
      <c r="K2" s="74" t="s">
        <v>3</v>
      </c>
      <c r="L2" s="75">
        <v>2013</v>
      </c>
      <c r="M2" s="75"/>
      <c r="N2" s="25"/>
    </row>
    <row r="3" spans="1:14" ht="21" customHeight="1" x14ac:dyDescent="0.2">
      <c r="A3" s="4"/>
      <c r="B3" s="101"/>
      <c r="C3" s="2" t="s">
        <v>5</v>
      </c>
      <c r="D3" s="2" t="s">
        <v>1</v>
      </c>
      <c r="E3" s="2" t="s">
        <v>6</v>
      </c>
      <c r="F3" s="2" t="s">
        <v>7</v>
      </c>
      <c r="G3" s="2" t="s">
        <v>8</v>
      </c>
      <c r="H3" s="2" t="s">
        <v>0</v>
      </c>
      <c r="I3" s="2" t="s">
        <v>9</v>
      </c>
      <c r="J3" s="5"/>
      <c r="K3" s="76"/>
      <c r="L3" s="77"/>
      <c r="M3" s="77"/>
      <c r="N3" s="26"/>
    </row>
    <row r="4" spans="1:14" ht="18" customHeight="1" x14ac:dyDescent="0.2">
      <c r="A4" s="4"/>
      <c r="B4" s="101"/>
      <c r="C4" s="10">
        <f>IF(DAY(AgoDom1)=1,AgoDom1-6,AgoDom1+1)</f>
        <v>43311</v>
      </c>
      <c r="D4" s="10">
        <f>IF(DAY(AgoDom1)=1,AgoDom1-5,AgoDom1+2)</f>
        <v>43312</v>
      </c>
      <c r="E4" s="10">
        <f>IF(DAY(AgoDom1)=1,AgoDom1-4,AgoDom1+3)</f>
        <v>43313</v>
      </c>
      <c r="F4" s="10">
        <f>IF(DAY(AgoDom1)=1,AgoDom1-3,AgoDom1+4)</f>
        <v>43314</v>
      </c>
      <c r="G4" s="10">
        <f>IF(DAY(AgoDom1)=1,AgoDom1-2,AgoDom1+5)</f>
        <v>43315</v>
      </c>
      <c r="H4" s="10">
        <f>IF(DAY(AgoDom1)=1,AgoDom1-1,AgoDom1+6)</f>
        <v>43316</v>
      </c>
      <c r="I4" s="10">
        <f>IF(DAY(AgoDom1)=1,AgoDom1,AgoDom1+7)</f>
        <v>43317</v>
      </c>
      <c r="J4" s="5"/>
      <c r="K4" s="78" t="s">
        <v>12</v>
      </c>
      <c r="L4" s="16"/>
      <c r="M4" s="79"/>
      <c r="N4" s="80"/>
    </row>
    <row r="5" spans="1:14" ht="18" customHeight="1" x14ac:dyDescent="0.2">
      <c r="A5" s="4"/>
      <c r="B5" s="101"/>
      <c r="C5" s="10">
        <f>IF(DAY(AgoDom1)=1,AgoDom1+1,AgoDom1+8)</f>
        <v>43318</v>
      </c>
      <c r="D5" s="10">
        <f>IF(DAY(AgoDom1)=1,AgoDom1+2,AgoDom1+9)</f>
        <v>43319</v>
      </c>
      <c r="E5" s="10">
        <f>IF(DAY(AgoDom1)=1,AgoDom1+3,AgoDom1+10)</f>
        <v>43320</v>
      </c>
      <c r="F5" s="10">
        <f>IF(DAY(AgoDom1)=1,AgoDom1+4,AgoDom1+11)</f>
        <v>43321</v>
      </c>
      <c r="G5" s="10">
        <f>IF(DAY(AgoDom1)=1,AgoDom1+5,AgoDom1+12)</f>
        <v>43322</v>
      </c>
      <c r="H5" s="10">
        <f>IF(DAY(AgoDom1)=1,AgoDom1+6,AgoDom1+13)</f>
        <v>43323</v>
      </c>
      <c r="I5" s="10">
        <f>IF(DAY(AgoDom1)=1,AgoDom1+7,AgoDom1+14)</f>
        <v>43324</v>
      </c>
      <c r="J5" s="5"/>
      <c r="K5" s="70"/>
      <c r="L5" s="17"/>
      <c r="M5" s="63"/>
      <c r="N5" s="64"/>
    </row>
    <row r="6" spans="1:14" ht="18" customHeight="1" x14ac:dyDescent="0.2">
      <c r="A6" s="4"/>
      <c r="B6" s="101"/>
      <c r="C6" s="10">
        <f>IF(DAY(AgoDom1)=1,AgoDom1+8,AgoDom1+15)</f>
        <v>43325</v>
      </c>
      <c r="D6" s="10">
        <f>IF(DAY(AgoDom1)=1,AgoDom1+9,AgoDom1+16)</f>
        <v>43326</v>
      </c>
      <c r="E6" s="10">
        <f>IF(DAY(AgoDom1)=1,AgoDom1+10,AgoDom1+17)</f>
        <v>43327</v>
      </c>
      <c r="F6" s="10">
        <f>IF(DAY(AgoDom1)=1,AgoDom1+11,AgoDom1+18)</f>
        <v>43328</v>
      </c>
      <c r="G6" s="10">
        <f>IF(DAY(AgoDom1)=1,AgoDom1+12,AgoDom1+19)</f>
        <v>43329</v>
      </c>
      <c r="H6" s="10">
        <f>IF(DAY(AgoDom1)=1,AgoDom1+13,AgoDom1+20)</f>
        <v>43330</v>
      </c>
      <c r="I6" s="10">
        <f>IF(DAY(AgoDom1)=1,AgoDom1+14,AgoDom1+21)</f>
        <v>43331</v>
      </c>
      <c r="J6" s="5"/>
      <c r="K6" s="70"/>
      <c r="L6" s="17"/>
      <c r="M6" s="63"/>
      <c r="N6" s="64"/>
    </row>
    <row r="7" spans="1:14" ht="18" customHeight="1" x14ac:dyDescent="0.2">
      <c r="A7" s="4"/>
      <c r="B7" s="101"/>
      <c r="C7" s="10">
        <f>IF(DAY(AgoDom1)=1,AgoDom1+15,AgoDom1+22)</f>
        <v>43332</v>
      </c>
      <c r="D7" s="10">
        <f>IF(DAY(AgoDom1)=1,AgoDom1+16,AgoDom1+23)</f>
        <v>43333</v>
      </c>
      <c r="E7" s="10">
        <f>IF(DAY(AgoDom1)=1,AgoDom1+17,AgoDom1+24)</f>
        <v>43334</v>
      </c>
      <c r="F7" s="10">
        <f>IF(DAY(AgoDom1)=1,AgoDom1+18,AgoDom1+25)</f>
        <v>43335</v>
      </c>
      <c r="G7" s="10">
        <f>IF(DAY(AgoDom1)=1,AgoDom1+19,AgoDom1+26)</f>
        <v>43336</v>
      </c>
      <c r="H7" s="10">
        <f>IF(DAY(AgoDom1)=1,AgoDom1+20,AgoDom1+27)</f>
        <v>43337</v>
      </c>
      <c r="I7" s="10">
        <f>IF(DAY(AgoDom1)=1,AgoDom1+21,AgoDom1+28)</f>
        <v>43338</v>
      </c>
      <c r="J7" s="5"/>
      <c r="K7" s="11"/>
      <c r="L7" s="17"/>
      <c r="M7" s="63"/>
      <c r="N7" s="64"/>
    </row>
    <row r="8" spans="1:14" ht="18.75" customHeight="1" x14ac:dyDescent="0.2">
      <c r="A8" s="4"/>
      <c r="B8" s="101"/>
      <c r="C8" s="10">
        <f>IF(DAY(AgoDom1)=1,AgoDom1+22,AgoDom1+29)</f>
        <v>43339</v>
      </c>
      <c r="D8" s="10">
        <f>IF(DAY(AgoDom1)=1,AgoDom1+23,AgoDom1+30)</f>
        <v>43340</v>
      </c>
      <c r="E8" s="10">
        <f>IF(DAY(AgoDom1)=1,AgoDom1+24,AgoDom1+31)</f>
        <v>43341</v>
      </c>
      <c r="F8" s="10">
        <f>IF(DAY(AgoDom1)=1,AgoDom1+25,AgoDom1+32)</f>
        <v>43342</v>
      </c>
      <c r="G8" s="10">
        <f>IF(DAY(AgoDom1)=1,AgoDom1+26,AgoDom1+33)</f>
        <v>43343</v>
      </c>
      <c r="H8" s="10">
        <f>IF(DAY(AgoDom1)=1,AgoDom1+27,AgoDom1+34)</f>
        <v>43344</v>
      </c>
      <c r="I8" s="10">
        <f>IF(DAY(AgoDom1)=1,AgoDom1+28,AgoDom1+35)</f>
        <v>43345</v>
      </c>
      <c r="J8" s="5"/>
      <c r="K8" s="11"/>
      <c r="L8" s="17"/>
      <c r="M8" s="63"/>
      <c r="N8" s="64"/>
    </row>
    <row r="9" spans="1:14" ht="18" customHeight="1" x14ac:dyDescent="0.2">
      <c r="A9" s="4"/>
      <c r="B9" s="101"/>
      <c r="C9" s="10">
        <f>IF(DAY(AgoDom1)=1,AgoDom1+29,AgoDom1+36)</f>
        <v>43346</v>
      </c>
      <c r="D9" s="10">
        <f>IF(DAY(AgoDom1)=1,AgoDom1+30,AgoDom1+37)</f>
        <v>43347</v>
      </c>
      <c r="E9" s="10">
        <f>IF(DAY(AgoDom1)=1,AgoDom1+31,AgoDom1+38)</f>
        <v>43348</v>
      </c>
      <c r="F9" s="10">
        <f>IF(DAY(AgoDom1)=1,AgoDom1+32,AgoDom1+39)</f>
        <v>43349</v>
      </c>
      <c r="G9" s="10">
        <f>IF(DAY(AgoDom1)=1,AgoDom1+33,AgoDom1+40)</f>
        <v>43350</v>
      </c>
      <c r="H9" s="10">
        <f>IF(DAY(AgoDom1)=1,AgoDom1+34,AgoDom1+41)</f>
        <v>43351</v>
      </c>
      <c r="I9" s="10">
        <f>IF(DAY(AgoDom1)=1,AgoDom1+35,AgoDom1+42)</f>
        <v>43352</v>
      </c>
      <c r="J9" s="5"/>
      <c r="K9" s="12"/>
      <c r="L9" s="18"/>
      <c r="M9" s="65"/>
      <c r="N9" s="66"/>
    </row>
    <row r="10" spans="1:14" ht="18" customHeight="1" x14ac:dyDescent="0.2">
      <c r="A10" s="4"/>
      <c r="B10" s="102"/>
      <c r="C10" s="23"/>
      <c r="D10" s="23"/>
      <c r="E10" s="23"/>
      <c r="F10" s="23"/>
      <c r="G10" s="23"/>
      <c r="H10" s="23"/>
      <c r="I10" s="23"/>
      <c r="J10" s="24"/>
      <c r="K10" s="69" t="s">
        <v>13</v>
      </c>
      <c r="L10" s="16"/>
      <c r="M10" s="67"/>
      <c r="N10" s="68"/>
    </row>
    <row r="11" spans="1:14" ht="18" customHeight="1" x14ac:dyDescent="0.2">
      <c r="A11" s="4"/>
      <c r="B11" s="103" t="s">
        <v>11</v>
      </c>
      <c r="C11" s="104"/>
      <c r="D11" s="104"/>
      <c r="E11" s="104"/>
      <c r="F11" s="104"/>
      <c r="G11" s="104"/>
      <c r="H11" s="104"/>
      <c r="I11" s="104"/>
      <c r="J11" s="105"/>
      <c r="K11" s="70"/>
      <c r="L11" s="17"/>
      <c r="M11" s="63"/>
      <c r="N11" s="64"/>
    </row>
    <row r="12" spans="1:14" ht="18" customHeight="1" x14ac:dyDescent="0.2">
      <c r="A12" s="4"/>
      <c r="B12" s="103"/>
      <c r="C12" s="104"/>
      <c r="D12" s="104"/>
      <c r="E12" s="104"/>
      <c r="F12" s="104"/>
      <c r="G12" s="104"/>
      <c r="H12" s="104"/>
      <c r="I12" s="104"/>
      <c r="J12" s="105"/>
      <c r="K12" s="70"/>
      <c r="L12" s="17"/>
      <c r="M12" s="63"/>
      <c r="N12" s="64"/>
    </row>
    <row r="13" spans="1:14" ht="18" customHeight="1" x14ac:dyDescent="0.2">
      <c r="B13" s="3" t="s">
        <v>12</v>
      </c>
      <c r="C13" s="71" t="s">
        <v>13</v>
      </c>
      <c r="D13" s="73"/>
      <c r="E13" s="71" t="s">
        <v>14</v>
      </c>
      <c r="F13" s="73"/>
      <c r="G13" s="71" t="s">
        <v>15</v>
      </c>
      <c r="H13" s="73"/>
      <c r="I13" s="71" t="s">
        <v>16</v>
      </c>
      <c r="J13" s="72"/>
      <c r="K13" s="11"/>
      <c r="L13" s="17"/>
      <c r="M13" s="63"/>
      <c r="N13" s="64"/>
    </row>
    <row r="14" spans="1:14" ht="18" customHeight="1" x14ac:dyDescent="0.2">
      <c r="B14" s="8"/>
      <c r="C14" s="85"/>
      <c r="D14" s="86"/>
      <c r="E14" s="85"/>
      <c r="F14" s="86"/>
      <c r="G14" s="85"/>
      <c r="H14" s="86"/>
      <c r="I14" s="85"/>
      <c r="J14" s="94"/>
      <c r="K14" s="11"/>
      <c r="L14" s="17"/>
      <c r="M14" s="63"/>
      <c r="N14" s="64"/>
    </row>
    <row r="15" spans="1:14" ht="18" customHeight="1" x14ac:dyDescent="0.2">
      <c r="B15" s="6"/>
      <c r="C15" s="83"/>
      <c r="D15" s="84"/>
      <c r="E15" s="83"/>
      <c r="F15" s="84"/>
      <c r="G15" s="83"/>
      <c r="H15" s="84"/>
      <c r="I15" s="91"/>
      <c r="J15" s="92"/>
      <c r="K15" s="13"/>
      <c r="L15" s="19"/>
      <c r="M15" s="65"/>
      <c r="N15" s="66"/>
    </row>
    <row r="16" spans="1:14" ht="18" customHeight="1" x14ac:dyDescent="0.2">
      <c r="B16" s="8"/>
      <c r="C16" s="85"/>
      <c r="D16" s="86"/>
      <c r="E16" s="85"/>
      <c r="F16" s="86"/>
      <c r="G16" s="85"/>
      <c r="H16" s="86"/>
      <c r="I16" s="95"/>
      <c r="J16" s="96"/>
      <c r="K16" s="61" t="s">
        <v>14</v>
      </c>
      <c r="L16" s="16"/>
      <c r="M16" s="67"/>
      <c r="N16" s="68"/>
    </row>
    <row r="17" spans="2:14" ht="18" customHeight="1" x14ac:dyDescent="0.2">
      <c r="B17" s="6"/>
      <c r="C17" s="83"/>
      <c r="D17" s="84"/>
      <c r="E17" s="83"/>
      <c r="F17" s="84"/>
      <c r="G17" s="83"/>
      <c r="H17" s="84"/>
      <c r="I17" s="91"/>
      <c r="J17" s="92"/>
      <c r="K17" s="62"/>
      <c r="L17" s="17"/>
      <c r="M17" s="63"/>
      <c r="N17" s="64"/>
    </row>
    <row r="18" spans="2:14" ht="18" customHeight="1" x14ac:dyDescent="0.2">
      <c r="B18" s="9"/>
      <c r="C18" s="87"/>
      <c r="D18" s="88"/>
      <c r="E18" s="87"/>
      <c r="F18" s="88"/>
      <c r="G18" s="87"/>
      <c r="H18" s="88"/>
      <c r="I18" s="87"/>
      <c r="J18" s="93"/>
      <c r="K18" s="62"/>
      <c r="L18" s="17"/>
      <c r="M18" s="63"/>
      <c r="N18" s="64"/>
    </row>
    <row r="19" spans="2:14" ht="18" customHeight="1" x14ac:dyDescent="0.2">
      <c r="B19" s="6"/>
      <c r="C19" s="83"/>
      <c r="D19" s="84"/>
      <c r="E19" s="83"/>
      <c r="F19" s="84"/>
      <c r="G19" s="83"/>
      <c r="H19" s="84"/>
      <c r="I19" s="91"/>
      <c r="J19" s="92"/>
      <c r="K19" s="11"/>
      <c r="L19" s="17"/>
      <c r="M19" s="63"/>
      <c r="N19" s="64"/>
    </row>
    <row r="20" spans="2:14" ht="18" customHeight="1" x14ac:dyDescent="0.2">
      <c r="B20" s="8"/>
      <c r="C20" s="85"/>
      <c r="D20" s="86"/>
      <c r="E20" s="85"/>
      <c r="F20" s="86"/>
      <c r="G20" s="85"/>
      <c r="H20" s="86"/>
      <c r="I20" s="85"/>
      <c r="J20" s="94"/>
      <c r="K20" s="11"/>
      <c r="L20" s="17"/>
      <c r="M20" s="63"/>
      <c r="N20" s="64"/>
    </row>
    <row r="21" spans="2:14" ht="18" customHeight="1" x14ac:dyDescent="0.2">
      <c r="B21" s="6"/>
      <c r="C21" s="83"/>
      <c r="D21" s="84"/>
      <c r="E21" s="83"/>
      <c r="F21" s="84"/>
      <c r="G21" s="83"/>
      <c r="H21" s="84"/>
      <c r="I21" s="97"/>
      <c r="J21" s="98"/>
      <c r="K21" s="13"/>
      <c r="L21" s="19"/>
      <c r="M21" s="65"/>
      <c r="N21" s="66"/>
    </row>
    <row r="22" spans="2:14" ht="18" customHeight="1" x14ac:dyDescent="0.2">
      <c r="B22" s="8"/>
      <c r="C22" s="85"/>
      <c r="D22" s="86"/>
      <c r="E22" s="85"/>
      <c r="F22" s="86"/>
      <c r="G22" s="85"/>
      <c r="H22" s="86"/>
      <c r="I22" s="85"/>
      <c r="J22" s="94"/>
      <c r="K22" s="61" t="s">
        <v>15</v>
      </c>
      <c r="L22" s="16"/>
      <c r="M22" s="67"/>
      <c r="N22" s="68"/>
    </row>
    <row r="23" spans="2:14" ht="18" customHeight="1" x14ac:dyDescent="0.2">
      <c r="B23" s="6"/>
      <c r="C23" s="83"/>
      <c r="D23" s="84"/>
      <c r="E23" s="83"/>
      <c r="F23" s="84"/>
      <c r="G23" s="83"/>
      <c r="H23" s="84"/>
      <c r="I23" s="91"/>
      <c r="J23" s="92"/>
      <c r="K23" s="62"/>
      <c r="L23" s="17"/>
      <c r="M23" s="63"/>
      <c r="N23" s="64"/>
    </row>
    <row r="24" spans="2:14" ht="18" customHeight="1" x14ac:dyDescent="0.2">
      <c r="B24" s="8"/>
      <c r="C24" s="85"/>
      <c r="D24" s="86"/>
      <c r="E24" s="85"/>
      <c r="F24" s="86"/>
      <c r="G24" s="85"/>
      <c r="H24" s="86"/>
      <c r="I24" s="85"/>
      <c r="J24" s="94"/>
      <c r="K24" s="62"/>
      <c r="L24" s="17"/>
      <c r="M24" s="63"/>
      <c r="N24" s="64"/>
    </row>
    <row r="25" spans="2:14" ht="18" customHeight="1" x14ac:dyDescent="0.2">
      <c r="B25" s="6"/>
      <c r="C25" s="83"/>
      <c r="D25" s="84"/>
      <c r="E25" s="83"/>
      <c r="F25" s="84"/>
      <c r="G25" s="83"/>
      <c r="H25" s="84"/>
      <c r="I25" s="91"/>
      <c r="J25" s="92"/>
      <c r="K25" s="62"/>
      <c r="L25" s="17"/>
      <c r="M25" s="63"/>
      <c r="N25" s="64"/>
    </row>
    <row r="26" spans="2:14" ht="18" customHeight="1" x14ac:dyDescent="0.2">
      <c r="B26" s="8"/>
      <c r="C26" s="85"/>
      <c r="D26" s="86"/>
      <c r="E26" s="85"/>
      <c r="F26" s="86"/>
      <c r="G26" s="85"/>
      <c r="H26" s="86"/>
      <c r="I26" s="85"/>
      <c r="J26" s="94"/>
      <c r="K26" s="11"/>
      <c r="L26" s="17"/>
      <c r="M26" s="63"/>
      <c r="N26" s="64"/>
    </row>
    <row r="27" spans="2:14" ht="18" customHeight="1" x14ac:dyDescent="0.2">
      <c r="B27" s="6"/>
      <c r="C27" s="83"/>
      <c r="D27" s="84"/>
      <c r="E27" s="83"/>
      <c r="F27" s="84"/>
      <c r="G27" s="83"/>
      <c r="H27" s="84"/>
      <c r="I27" s="91"/>
      <c r="J27" s="92"/>
      <c r="K27" s="13"/>
      <c r="L27" s="19"/>
      <c r="M27" s="65"/>
      <c r="N27" s="66"/>
    </row>
    <row r="28" spans="2:14" ht="18" customHeight="1" x14ac:dyDescent="0.2">
      <c r="B28" s="8"/>
      <c r="C28" s="85"/>
      <c r="D28" s="86"/>
      <c r="E28" s="85"/>
      <c r="F28" s="86"/>
      <c r="G28" s="85"/>
      <c r="H28" s="86"/>
      <c r="I28" s="85"/>
      <c r="J28" s="94"/>
      <c r="K28" s="69" t="s">
        <v>16</v>
      </c>
      <c r="L28" s="16"/>
      <c r="M28" s="67"/>
      <c r="N28" s="68"/>
    </row>
    <row r="29" spans="2:14" ht="18" customHeight="1" x14ac:dyDescent="0.2">
      <c r="B29" s="6"/>
      <c r="C29" s="83"/>
      <c r="D29" s="84"/>
      <c r="E29" s="83"/>
      <c r="F29" s="84"/>
      <c r="G29" s="83"/>
      <c r="H29" s="84"/>
      <c r="I29" s="83"/>
      <c r="J29" s="99"/>
      <c r="K29" s="70"/>
      <c r="L29" s="17"/>
      <c r="M29" s="63"/>
      <c r="N29" s="64"/>
    </row>
    <row r="30" spans="2:14" ht="18" customHeight="1" x14ac:dyDescent="0.2">
      <c r="B30" s="8"/>
      <c r="C30" s="85"/>
      <c r="D30" s="86"/>
      <c r="E30" s="85"/>
      <c r="F30" s="86"/>
      <c r="G30" s="85"/>
      <c r="H30" s="86"/>
      <c r="I30" s="108"/>
      <c r="J30" s="109"/>
      <c r="K30" s="70"/>
      <c r="L30" s="17"/>
      <c r="M30" s="63"/>
      <c r="N30" s="64"/>
    </row>
    <row r="31" spans="2:14" ht="18" customHeight="1" x14ac:dyDescent="0.2">
      <c r="B31" s="6"/>
      <c r="C31" s="83"/>
      <c r="D31" s="84"/>
      <c r="E31" s="83"/>
      <c r="F31" s="84"/>
      <c r="G31" s="83"/>
      <c r="H31" s="84"/>
      <c r="I31" s="83"/>
      <c r="J31" s="99"/>
      <c r="K31" s="14"/>
      <c r="L31" s="17"/>
      <c r="M31" s="63"/>
      <c r="N31" s="64"/>
    </row>
    <row r="32" spans="2:14" ht="18" customHeight="1" x14ac:dyDescent="0.2">
      <c r="B32" s="8"/>
      <c r="C32" s="85"/>
      <c r="D32" s="86"/>
      <c r="E32" s="85"/>
      <c r="F32" s="86"/>
      <c r="G32" s="85"/>
      <c r="H32" s="86"/>
      <c r="I32" s="95"/>
      <c r="J32" s="96"/>
      <c r="K32" s="14"/>
      <c r="L32" s="17"/>
      <c r="M32" s="63"/>
      <c r="N32" s="64"/>
    </row>
    <row r="33" spans="2:14" ht="18" customHeight="1" x14ac:dyDescent="0.2">
      <c r="B33" s="7"/>
      <c r="C33" s="89"/>
      <c r="D33" s="90"/>
      <c r="E33" s="89"/>
      <c r="F33" s="90"/>
      <c r="G33" s="89"/>
      <c r="H33" s="90"/>
      <c r="I33" s="110"/>
      <c r="J33" s="111"/>
      <c r="K33" s="15"/>
      <c r="L33" s="20"/>
      <c r="M33" s="106"/>
      <c r="N33" s="107"/>
    </row>
  </sheetData>
  <mergeCells count="122">
    <mergeCell ref="C33:D33"/>
    <mergeCell ref="E33:F33"/>
    <mergeCell ref="G33:H33"/>
    <mergeCell ref="I33:J33"/>
    <mergeCell ref="M33:N33"/>
    <mergeCell ref="C31:D31"/>
    <mergeCell ref="E31:F31"/>
    <mergeCell ref="G31:H31"/>
    <mergeCell ref="I31:J31"/>
    <mergeCell ref="M31:N31"/>
    <mergeCell ref="C32:D32"/>
    <mergeCell ref="E32:F32"/>
    <mergeCell ref="G32:H32"/>
    <mergeCell ref="I32:J32"/>
    <mergeCell ref="M32:N32"/>
    <mergeCell ref="M29:N29"/>
    <mergeCell ref="C30:D30"/>
    <mergeCell ref="E30:F30"/>
    <mergeCell ref="G30:H30"/>
    <mergeCell ref="I30:J30"/>
    <mergeCell ref="M30:N30"/>
    <mergeCell ref="C28:D28"/>
    <mergeCell ref="E28:F28"/>
    <mergeCell ref="G28:H28"/>
    <mergeCell ref="I28:J28"/>
    <mergeCell ref="K28:K30"/>
    <mergeCell ref="M28:N28"/>
    <mergeCell ref="C29:D29"/>
    <mergeCell ref="E29:F29"/>
    <mergeCell ref="G29:H29"/>
    <mergeCell ref="I29:J29"/>
    <mergeCell ref="I25:J25"/>
    <mergeCell ref="M25:N25"/>
    <mergeCell ref="C26:D26"/>
    <mergeCell ref="E26:F26"/>
    <mergeCell ref="G26:H26"/>
    <mergeCell ref="I26:J26"/>
    <mergeCell ref="M26:N26"/>
    <mergeCell ref="C27:D27"/>
    <mergeCell ref="E27:F27"/>
    <mergeCell ref="G27:H27"/>
    <mergeCell ref="I27:J27"/>
    <mergeCell ref="M27:N27"/>
    <mergeCell ref="M22:N22"/>
    <mergeCell ref="C23:D23"/>
    <mergeCell ref="E23:F23"/>
    <mergeCell ref="G23:H23"/>
    <mergeCell ref="I23:J23"/>
    <mergeCell ref="M23:N23"/>
    <mergeCell ref="C21:D21"/>
    <mergeCell ref="E21:F21"/>
    <mergeCell ref="G21:H21"/>
    <mergeCell ref="I21:J21"/>
    <mergeCell ref="M21:N21"/>
    <mergeCell ref="C22:D22"/>
    <mergeCell ref="E22:F22"/>
    <mergeCell ref="G22:H22"/>
    <mergeCell ref="I22:J22"/>
    <mergeCell ref="K22:K25"/>
    <mergeCell ref="C24:D24"/>
    <mergeCell ref="E24:F24"/>
    <mergeCell ref="G24:H24"/>
    <mergeCell ref="I24:J24"/>
    <mergeCell ref="M24:N24"/>
    <mergeCell ref="C25:D25"/>
    <mergeCell ref="E25:F25"/>
    <mergeCell ref="G25:H25"/>
    <mergeCell ref="C19:D19"/>
    <mergeCell ref="E19:F19"/>
    <mergeCell ref="G19:H19"/>
    <mergeCell ref="I19:J19"/>
    <mergeCell ref="M19:N19"/>
    <mergeCell ref="C20:D20"/>
    <mergeCell ref="E20:F20"/>
    <mergeCell ref="G20:H20"/>
    <mergeCell ref="I20:J20"/>
    <mergeCell ref="M20:N20"/>
    <mergeCell ref="M17:N17"/>
    <mergeCell ref="C18:D18"/>
    <mergeCell ref="E18:F18"/>
    <mergeCell ref="G18:H18"/>
    <mergeCell ref="I18:J18"/>
    <mergeCell ref="M18:N18"/>
    <mergeCell ref="C16:D16"/>
    <mergeCell ref="E16:F16"/>
    <mergeCell ref="G16:H16"/>
    <mergeCell ref="I16:J16"/>
    <mergeCell ref="K16:K18"/>
    <mergeCell ref="M16:N16"/>
    <mergeCell ref="C17:D17"/>
    <mergeCell ref="E17:F17"/>
    <mergeCell ref="G17:H17"/>
    <mergeCell ref="I17:J17"/>
    <mergeCell ref="C14:D14"/>
    <mergeCell ref="E14:F14"/>
    <mergeCell ref="G14:H14"/>
    <mergeCell ref="I14:J14"/>
    <mergeCell ref="M14:N14"/>
    <mergeCell ref="C15:D15"/>
    <mergeCell ref="E15:F15"/>
    <mergeCell ref="G15:H15"/>
    <mergeCell ref="I15:J15"/>
    <mergeCell ref="M15:N15"/>
    <mergeCell ref="M10:N10"/>
    <mergeCell ref="B11:J12"/>
    <mergeCell ref="M11:N11"/>
    <mergeCell ref="M12:N12"/>
    <mergeCell ref="C13:D13"/>
    <mergeCell ref="E13:F13"/>
    <mergeCell ref="G13:H13"/>
    <mergeCell ref="I13:J13"/>
    <mergeCell ref="M13:N13"/>
    <mergeCell ref="B2:B10"/>
    <mergeCell ref="K2:M3"/>
    <mergeCell ref="K4:K6"/>
    <mergeCell ref="M4:N4"/>
    <mergeCell ref="M5:N5"/>
    <mergeCell ref="M6:N6"/>
    <mergeCell ref="M7:N7"/>
    <mergeCell ref="M8:N8"/>
    <mergeCell ref="M9:N9"/>
    <mergeCell ref="K10:K12"/>
  </mergeCells>
  <conditionalFormatting sqref="C4:H4">
    <cfRule type="expression" dxfId="21" priority="3" stopIfTrue="1">
      <formula>DAY(C4)&gt;8</formula>
    </cfRule>
  </conditionalFormatting>
  <conditionalFormatting sqref="C8:I10">
    <cfRule type="expression" dxfId="20" priority="2" stopIfTrue="1">
      <formula>AND(DAY(C8)&gt;=1,DAY(C8)&lt;=15)</formula>
    </cfRule>
  </conditionalFormatting>
  <conditionalFormatting sqref="C4:I9">
    <cfRule type="expression" dxfId="19" priority="4">
      <formula>VLOOKUP(DAY(C4),DíasDeTareas,1,FALSE)=DAY(C4)</formula>
    </cfRule>
  </conditionalFormatting>
  <conditionalFormatting sqref="B14:J33">
    <cfRule type="expression" dxfId="18" priority="1">
      <formula>B14&lt;&gt;""</formula>
    </cfRule>
  </conditionalFormatting>
  <printOptions horizontalCentered="1"/>
  <pageMargins left="0.5" right="0.5" top="0.5" bottom="0.5" header="0.3" footer="0.3"/>
  <pageSetup scale="63"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AO33"/>
  <sheetViews>
    <sheetView showGridLines="0" topLeftCell="A9" zoomScaleNormal="100" zoomScalePageLayoutView="84" workbookViewId="0">
      <selection activeCell="L35" sqref="L35"/>
    </sheetView>
  </sheetViews>
  <sheetFormatPr baseColWidth="10" defaultColWidth="8.7109375" defaultRowHeight="16.5" customHeight="1" x14ac:dyDescent="0.2"/>
  <cols>
    <col min="1" max="1" width="2.28515625" style="1" customWidth="1"/>
    <col min="2" max="2" width="12.7109375" style="1" customWidth="1"/>
    <col min="3" max="10" width="6.7109375" style="1" customWidth="1"/>
    <col min="11" max="11" width="7.28515625" style="1" customWidth="1"/>
    <col min="12" max="12" width="3.85546875" customWidth="1"/>
    <col min="13" max="13" width="51.42578125" style="1" customWidth="1"/>
    <col min="14" max="14" width="10.7109375" style="1" customWidth="1"/>
    <col min="15" max="15" width="2.28515625" customWidth="1"/>
    <col min="16" max="22" width="8.85546875" customWidth="1"/>
    <col min="42" max="16384" width="8.7109375" style="1"/>
  </cols>
  <sheetData>
    <row r="1" spans="1:14" ht="11.25" customHeight="1" x14ac:dyDescent="0.2"/>
    <row r="2" spans="1:14" ht="18" customHeight="1" x14ac:dyDescent="0.2">
      <c r="A2" s="4"/>
      <c r="B2" s="100" t="s">
        <v>19</v>
      </c>
      <c r="C2" s="21"/>
      <c r="D2" s="21"/>
      <c r="E2" s="21"/>
      <c r="F2" s="21"/>
      <c r="G2" s="21"/>
      <c r="H2" s="21"/>
      <c r="I2" s="21"/>
      <c r="J2" s="22"/>
      <c r="K2" s="74" t="s">
        <v>3</v>
      </c>
      <c r="L2" s="75">
        <v>2013</v>
      </c>
      <c r="M2" s="75"/>
      <c r="N2" s="25"/>
    </row>
    <row r="3" spans="1:14" ht="21" customHeight="1" x14ac:dyDescent="0.2">
      <c r="A3" s="4"/>
      <c r="B3" s="101"/>
      <c r="C3" s="2" t="s">
        <v>5</v>
      </c>
      <c r="D3" s="2" t="s">
        <v>1</v>
      </c>
      <c r="E3" s="2" t="s">
        <v>6</v>
      </c>
      <c r="F3" s="2" t="s">
        <v>7</v>
      </c>
      <c r="G3" s="2" t="s">
        <v>8</v>
      </c>
      <c r="H3" s="2" t="s">
        <v>0</v>
      </c>
      <c r="I3" s="2" t="s">
        <v>9</v>
      </c>
      <c r="J3" s="5"/>
      <c r="K3" s="76"/>
      <c r="L3" s="77"/>
      <c r="M3" s="77"/>
      <c r="N3" s="26"/>
    </row>
    <row r="4" spans="1:14" ht="18" customHeight="1" x14ac:dyDescent="0.2">
      <c r="A4" s="4"/>
      <c r="B4" s="101"/>
      <c r="C4" s="10">
        <f>IF(DAY(SepDom1)=1,SepDom1-6,SepDom1+1)</f>
        <v>43339</v>
      </c>
      <c r="D4" s="10">
        <f>IF(DAY(SepDom1)=1,SepDom1-5,SepDom1+2)</f>
        <v>43340</v>
      </c>
      <c r="E4" s="10">
        <f>IF(DAY(SepDom1)=1,SepDom1-4,SepDom1+3)</f>
        <v>43341</v>
      </c>
      <c r="F4" s="10">
        <f>IF(DAY(SepDom1)=1,SepDom1-3,SepDom1+4)</f>
        <v>43342</v>
      </c>
      <c r="G4" s="10">
        <f>IF(DAY(SepDom1)=1,SepDom1-2,SepDom1+5)</f>
        <v>43343</v>
      </c>
      <c r="H4" s="10">
        <f>IF(DAY(SepDom1)=1,SepDom1-1,SepDom1+6)</f>
        <v>43344</v>
      </c>
      <c r="I4" s="10">
        <f>IF(DAY(SepDom1)=1,SepDom1,SepDom1+7)</f>
        <v>43345</v>
      </c>
      <c r="J4" s="5"/>
      <c r="K4" s="78" t="s">
        <v>12</v>
      </c>
      <c r="L4" s="16"/>
      <c r="M4" s="79"/>
      <c r="N4" s="80"/>
    </row>
    <row r="5" spans="1:14" ht="18" customHeight="1" x14ac:dyDescent="0.2">
      <c r="A5" s="4"/>
      <c r="B5" s="101"/>
      <c r="C5" s="10">
        <f>IF(DAY(SepDom1)=1,SepDom1+1,SepDom1+8)</f>
        <v>43346</v>
      </c>
      <c r="D5" s="10">
        <f>IF(DAY(SepDom1)=1,SepDom1+2,SepDom1+9)</f>
        <v>43347</v>
      </c>
      <c r="E5" s="10">
        <f>IF(DAY(SepDom1)=1,SepDom1+3,SepDom1+10)</f>
        <v>43348</v>
      </c>
      <c r="F5" s="10">
        <f>IF(DAY(SepDom1)=1,SepDom1+4,SepDom1+11)</f>
        <v>43349</v>
      </c>
      <c r="G5" s="10">
        <f>IF(DAY(SepDom1)=1,SepDom1+5,SepDom1+12)</f>
        <v>43350</v>
      </c>
      <c r="H5" s="10">
        <f>IF(DAY(SepDom1)=1,SepDom1+6,SepDom1+13)</f>
        <v>43351</v>
      </c>
      <c r="I5" s="10">
        <f>IF(DAY(SepDom1)=1,SepDom1+7,SepDom1+14)</f>
        <v>43352</v>
      </c>
      <c r="J5" s="5"/>
      <c r="K5" s="70"/>
      <c r="L5" s="17"/>
      <c r="M5" s="63"/>
      <c r="N5" s="64"/>
    </row>
    <row r="6" spans="1:14" ht="18" customHeight="1" x14ac:dyDescent="0.2">
      <c r="A6" s="4"/>
      <c r="B6" s="101"/>
      <c r="C6" s="10">
        <f>IF(DAY(SepDom1)=1,SepDom1+8,SepDom1+15)</f>
        <v>43353</v>
      </c>
      <c r="D6" s="10">
        <f>IF(DAY(SepDom1)=1,SepDom1+9,SepDom1+16)</f>
        <v>43354</v>
      </c>
      <c r="E6" s="10">
        <f>IF(DAY(SepDom1)=1,SepDom1+10,SepDom1+17)</f>
        <v>43355</v>
      </c>
      <c r="F6" s="10">
        <f>IF(DAY(SepDom1)=1,SepDom1+11,SepDom1+18)</f>
        <v>43356</v>
      </c>
      <c r="G6" s="10">
        <f>IF(DAY(SepDom1)=1,SepDom1+12,SepDom1+19)</f>
        <v>43357</v>
      </c>
      <c r="H6" s="10">
        <f>IF(DAY(SepDom1)=1,SepDom1+13,SepDom1+20)</f>
        <v>43358</v>
      </c>
      <c r="I6" s="10">
        <f>IF(DAY(SepDom1)=1,SepDom1+14,SepDom1+21)</f>
        <v>43359</v>
      </c>
      <c r="J6" s="5"/>
      <c r="K6" s="70"/>
      <c r="L6" s="17"/>
      <c r="M6" s="63"/>
      <c r="N6" s="64"/>
    </row>
    <row r="7" spans="1:14" ht="18" customHeight="1" x14ac:dyDescent="0.2">
      <c r="A7" s="4"/>
      <c r="B7" s="101"/>
      <c r="C7" s="10">
        <f>IF(DAY(SepDom1)=1,SepDom1+15,SepDom1+22)</f>
        <v>43360</v>
      </c>
      <c r="D7" s="10">
        <f>IF(DAY(SepDom1)=1,SepDom1+16,SepDom1+23)</f>
        <v>43361</v>
      </c>
      <c r="E7" s="10">
        <f>IF(DAY(SepDom1)=1,SepDom1+17,SepDom1+24)</f>
        <v>43362</v>
      </c>
      <c r="F7" s="10">
        <f>IF(DAY(SepDom1)=1,SepDom1+18,SepDom1+25)</f>
        <v>43363</v>
      </c>
      <c r="G7" s="10">
        <f>IF(DAY(SepDom1)=1,SepDom1+19,SepDom1+26)</f>
        <v>43364</v>
      </c>
      <c r="H7" s="10">
        <f>IF(DAY(SepDom1)=1,SepDom1+20,SepDom1+27)</f>
        <v>43365</v>
      </c>
      <c r="I7" s="10">
        <f>IF(DAY(SepDom1)=1,SepDom1+21,SepDom1+28)</f>
        <v>43366</v>
      </c>
      <c r="J7" s="5"/>
      <c r="K7" s="11"/>
      <c r="L7" s="17"/>
      <c r="M7" s="63"/>
      <c r="N7" s="64"/>
    </row>
    <row r="8" spans="1:14" ht="18.75" customHeight="1" x14ac:dyDescent="0.2">
      <c r="A8" s="4"/>
      <c r="B8" s="101"/>
      <c r="C8" s="10">
        <f>IF(DAY(SepDom1)=1,SepDom1+22,SepDom1+29)</f>
        <v>43367</v>
      </c>
      <c r="D8" s="10">
        <f>IF(DAY(SepDom1)=1,SepDom1+23,SepDom1+30)</f>
        <v>43368</v>
      </c>
      <c r="E8" s="10">
        <f>IF(DAY(SepDom1)=1,SepDom1+24,SepDom1+31)</f>
        <v>43369</v>
      </c>
      <c r="F8" s="10">
        <f>IF(DAY(SepDom1)=1,SepDom1+25,SepDom1+32)</f>
        <v>43370</v>
      </c>
      <c r="G8" s="10">
        <f>IF(DAY(SepDom1)=1,SepDom1+26,SepDom1+33)</f>
        <v>43371</v>
      </c>
      <c r="H8" s="10">
        <f>IF(DAY(SepDom1)=1,SepDom1+27,SepDom1+34)</f>
        <v>43372</v>
      </c>
      <c r="I8" s="10">
        <f>IF(DAY(SepDom1)=1,SepDom1+28,SepDom1+35)</f>
        <v>43373</v>
      </c>
      <c r="J8" s="5"/>
      <c r="K8" s="11"/>
      <c r="L8" s="17"/>
      <c r="M8" s="63"/>
      <c r="N8" s="64"/>
    </row>
    <row r="9" spans="1:14" ht="18" customHeight="1" x14ac:dyDescent="0.2">
      <c r="A9" s="4"/>
      <c r="B9" s="101"/>
      <c r="C9" s="10">
        <f>IF(DAY(SepDom1)=1,SepDom1+29,SepDom1+36)</f>
        <v>43374</v>
      </c>
      <c r="D9" s="10">
        <f>IF(DAY(SepDom1)=1,SepDom1+30,SepDom1+37)</f>
        <v>43375</v>
      </c>
      <c r="E9" s="10">
        <f>IF(DAY(SepDom1)=1,SepDom1+31,SepDom1+38)</f>
        <v>43376</v>
      </c>
      <c r="F9" s="10">
        <f>IF(DAY(SepDom1)=1,SepDom1+32,SepDom1+39)</f>
        <v>43377</v>
      </c>
      <c r="G9" s="10">
        <f>IF(DAY(SepDom1)=1,SepDom1+33,SepDom1+40)</f>
        <v>43378</v>
      </c>
      <c r="H9" s="10">
        <f>IF(DAY(SepDom1)=1,SepDom1+34,SepDom1+41)</f>
        <v>43379</v>
      </c>
      <c r="I9" s="10">
        <f>IF(DAY(SepDom1)=1,SepDom1+35,SepDom1+42)</f>
        <v>43380</v>
      </c>
      <c r="J9" s="5"/>
      <c r="K9" s="12"/>
      <c r="L9" s="18"/>
      <c r="M9" s="65"/>
      <c r="N9" s="66"/>
    </row>
    <row r="10" spans="1:14" ht="18" customHeight="1" x14ac:dyDescent="0.2">
      <c r="A10" s="4"/>
      <c r="B10" s="102"/>
      <c r="C10" s="23"/>
      <c r="D10" s="23"/>
      <c r="E10" s="23"/>
      <c r="F10" s="23"/>
      <c r="G10" s="23"/>
      <c r="H10" s="23"/>
      <c r="I10" s="23"/>
      <c r="J10" s="24"/>
      <c r="K10" s="69" t="s">
        <v>13</v>
      </c>
      <c r="L10" s="16"/>
      <c r="M10" s="67"/>
      <c r="N10" s="68"/>
    </row>
    <row r="11" spans="1:14" ht="18" customHeight="1" x14ac:dyDescent="0.2">
      <c r="A11" s="4"/>
      <c r="B11" s="103" t="s">
        <v>11</v>
      </c>
      <c r="C11" s="104"/>
      <c r="D11" s="104"/>
      <c r="E11" s="104"/>
      <c r="F11" s="104"/>
      <c r="G11" s="104"/>
      <c r="H11" s="104"/>
      <c r="I11" s="104"/>
      <c r="J11" s="105"/>
      <c r="K11" s="70"/>
      <c r="L11" s="17"/>
      <c r="M11" s="63"/>
      <c r="N11" s="64"/>
    </row>
    <row r="12" spans="1:14" ht="18" customHeight="1" x14ac:dyDescent="0.2">
      <c r="A12" s="4"/>
      <c r="B12" s="103"/>
      <c r="C12" s="104"/>
      <c r="D12" s="104"/>
      <c r="E12" s="104"/>
      <c r="F12" s="104"/>
      <c r="G12" s="104"/>
      <c r="H12" s="104"/>
      <c r="I12" s="104"/>
      <c r="J12" s="105"/>
      <c r="K12" s="70"/>
      <c r="L12" s="17"/>
      <c r="M12" s="63"/>
      <c r="N12" s="64"/>
    </row>
    <row r="13" spans="1:14" ht="18" customHeight="1" x14ac:dyDescent="0.2">
      <c r="B13" s="3" t="s">
        <v>12</v>
      </c>
      <c r="C13" s="71" t="s">
        <v>13</v>
      </c>
      <c r="D13" s="73"/>
      <c r="E13" s="71" t="s">
        <v>14</v>
      </c>
      <c r="F13" s="73"/>
      <c r="G13" s="71" t="s">
        <v>15</v>
      </c>
      <c r="H13" s="73"/>
      <c r="I13" s="71" t="s">
        <v>16</v>
      </c>
      <c r="J13" s="72"/>
      <c r="K13" s="11"/>
      <c r="L13" s="17"/>
      <c r="M13" s="63"/>
      <c r="N13" s="64"/>
    </row>
    <row r="14" spans="1:14" ht="18" customHeight="1" x14ac:dyDescent="0.2">
      <c r="B14" s="8"/>
      <c r="C14" s="85"/>
      <c r="D14" s="86"/>
      <c r="E14" s="85"/>
      <c r="F14" s="86"/>
      <c r="G14" s="85"/>
      <c r="H14" s="86"/>
      <c r="I14" s="85"/>
      <c r="J14" s="94"/>
      <c r="K14" s="11"/>
      <c r="L14" s="17"/>
      <c r="M14" s="63"/>
      <c r="N14" s="64"/>
    </row>
    <row r="15" spans="1:14" ht="18" customHeight="1" x14ac:dyDescent="0.2">
      <c r="B15" s="6"/>
      <c r="C15" s="83"/>
      <c r="D15" s="84"/>
      <c r="E15" s="83"/>
      <c r="F15" s="84"/>
      <c r="G15" s="83"/>
      <c r="H15" s="84"/>
      <c r="I15" s="91"/>
      <c r="J15" s="92"/>
      <c r="K15" s="13"/>
      <c r="L15" s="19"/>
      <c r="M15" s="65"/>
      <c r="N15" s="66"/>
    </row>
    <row r="16" spans="1:14" ht="18" customHeight="1" x14ac:dyDescent="0.2">
      <c r="B16" s="8"/>
      <c r="C16" s="85"/>
      <c r="D16" s="86"/>
      <c r="E16" s="85"/>
      <c r="F16" s="86"/>
      <c r="G16" s="85"/>
      <c r="H16" s="86"/>
      <c r="I16" s="95"/>
      <c r="J16" s="96"/>
      <c r="K16" s="61" t="s">
        <v>14</v>
      </c>
      <c r="L16" s="16"/>
      <c r="M16" s="67"/>
      <c r="N16" s="68"/>
    </row>
    <row r="17" spans="2:14" ht="18" customHeight="1" x14ac:dyDescent="0.2">
      <c r="B17" s="6"/>
      <c r="C17" s="83"/>
      <c r="D17" s="84"/>
      <c r="E17" s="83"/>
      <c r="F17" s="84"/>
      <c r="G17" s="83"/>
      <c r="H17" s="84"/>
      <c r="I17" s="91"/>
      <c r="J17" s="92"/>
      <c r="K17" s="62"/>
      <c r="L17" s="17"/>
      <c r="M17" s="63"/>
      <c r="N17" s="64"/>
    </row>
    <row r="18" spans="2:14" ht="18" customHeight="1" x14ac:dyDescent="0.2">
      <c r="B18" s="9"/>
      <c r="C18" s="87"/>
      <c r="D18" s="88"/>
      <c r="E18" s="87"/>
      <c r="F18" s="88"/>
      <c r="G18" s="87"/>
      <c r="H18" s="88"/>
      <c r="I18" s="87"/>
      <c r="J18" s="93"/>
      <c r="K18" s="62"/>
      <c r="L18" s="17"/>
      <c r="M18" s="63"/>
      <c r="N18" s="64"/>
    </row>
    <row r="19" spans="2:14" ht="18" customHeight="1" x14ac:dyDescent="0.2">
      <c r="B19" s="6"/>
      <c r="C19" s="83"/>
      <c r="D19" s="84"/>
      <c r="E19" s="83"/>
      <c r="F19" s="84"/>
      <c r="G19" s="83"/>
      <c r="H19" s="84"/>
      <c r="I19" s="91"/>
      <c r="J19" s="92"/>
      <c r="K19" s="11"/>
      <c r="L19" s="17"/>
      <c r="M19" s="63"/>
      <c r="N19" s="64"/>
    </row>
    <row r="20" spans="2:14" ht="18" customHeight="1" x14ac:dyDescent="0.2">
      <c r="B20" s="8"/>
      <c r="C20" s="85"/>
      <c r="D20" s="86"/>
      <c r="E20" s="85"/>
      <c r="F20" s="86"/>
      <c r="G20" s="85"/>
      <c r="H20" s="86"/>
      <c r="I20" s="85"/>
      <c r="J20" s="94"/>
      <c r="K20" s="11"/>
      <c r="L20" s="17"/>
      <c r="M20" s="63"/>
      <c r="N20" s="64"/>
    </row>
    <row r="21" spans="2:14" ht="18" customHeight="1" x14ac:dyDescent="0.2">
      <c r="B21" s="6"/>
      <c r="C21" s="83"/>
      <c r="D21" s="84"/>
      <c r="E21" s="83"/>
      <c r="F21" s="84"/>
      <c r="G21" s="83"/>
      <c r="H21" s="84"/>
      <c r="I21" s="97"/>
      <c r="J21" s="98"/>
      <c r="K21" s="13"/>
      <c r="L21" s="19"/>
      <c r="M21" s="65"/>
      <c r="N21" s="66"/>
    </row>
    <row r="22" spans="2:14" ht="18" customHeight="1" x14ac:dyDescent="0.2">
      <c r="B22" s="8"/>
      <c r="C22" s="85"/>
      <c r="D22" s="86"/>
      <c r="E22" s="85"/>
      <c r="F22" s="86"/>
      <c r="G22" s="85"/>
      <c r="H22" s="86"/>
      <c r="I22" s="85"/>
      <c r="J22" s="94"/>
      <c r="K22" s="61" t="s">
        <v>15</v>
      </c>
      <c r="L22" s="16"/>
      <c r="M22" s="67"/>
      <c r="N22" s="68"/>
    </row>
    <row r="23" spans="2:14" ht="18" customHeight="1" x14ac:dyDescent="0.2">
      <c r="B23" s="6"/>
      <c r="C23" s="83"/>
      <c r="D23" s="84"/>
      <c r="E23" s="83"/>
      <c r="F23" s="84"/>
      <c r="G23" s="83"/>
      <c r="H23" s="84"/>
      <c r="I23" s="91"/>
      <c r="J23" s="92"/>
      <c r="K23" s="62"/>
      <c r="L23" s="17"/>
      <c r="M23" s="63"/>
      <c r="N23" s="64"/>
    </row>
    <row r="24" spans="2:14" ht="18" customHeight="1" x14ac:dyDescent="0.2">
      <c r="B24" s="8"/>
      <c r="C24" s="85"/>
      <c r="D24" s="86"/>
      <c r="E24" s="85"/>
      <c r="F24" s="86"/>
      <c r="G24" s="85"/>
      <c r="H24" s="86"/>
      <c r="I24" s="85"/>
      <c r="J24" s="94"/>
      <c r="K24" s="62"/>
      <c r="L24" s="17"/>
      <c r="M24" s="63"/>
      <c r="N24" s="64"/>
    </row>
    <row r="25" spans="2:14" ht="18" customHeight="1" x14ac:dyDescent="0.2">
      <c r="B25" s="6"/>
      <c r="C25" s="83"/>
      <c r="D25" s="84"/>
      <c r="E25" s="83"/>
      <c r="F25" s="84"/>
      <c r="G25" s="83"/>
      <c r="H25" s="84"/>
      <c r="I25" s="91"/>
      <c r="J25" s="92"/>
      <c r="K25" s="62"/>
      <c r="L25" s="17"/>
      <c r="M25" s="63"/>
      <c r="N25" s="64"/>
    </row>
    <row r="26" spans="2:14" ht="18" customHeight="1" x14ac:dyDescent="0.2">
      <c r="B26" s="8"/>
      <c r="C26" s="85"/>
      <c r="D26" s="86"/>
      <c r="E26" s="85"/>
      <c r="F26" s="86"/>
      <c r="G26" s="85"/>
      <c r="H26" s="86"/>
      <c r="I26" s="85"/>
      <c r="J26" s="94"/>
      <c r="K26" s="11"/>
      <c r="L26" s="17"/>
      <c r="M26" s="63"/>
      <c r="N26" s="64"/>
    </row>
    <row r="27" spans="2:14" ht="18" customHeight="1" x14ac:dyDescent="0.2">
      <c r="B27" s="6"/>
      <c r="C27" s="83"/>
      <c r="D27" s="84"/>
      <c r="E27" s="83"/>
      <c r="F27" s="84"/>
      <c r="G27" s="83"/>
      <c r="H27" s="84"/>
      <c r="I27" s="91"/>
      <c r="J27" s="92"/>
      <c r="K27" s="13"/>
      <c r="L27" s="19"/>
      <c r="M27" s="65"/>
      <c r="N27" s="66"/>
    </row>
    <row r="28" spans="2:14" ht="18" customHeight="1" x14ac:dyDescent="0.2">
      <c r="B28" s="8"/>
      <c r="C28" s="85"/>
      <c r="D28" s="86"/>
      <c r="E28" s="85"/>
      <c r="F28" s="86"/>
      <c r="G28" s="85"/>
      <c r="H28" s="86"/>
      <c r="I28" s="85"/>
      <c r="J28" s="94"/>
      <c r="K28" s="69" t="s">
        <v>16</v>
      </c>
      <c r="L28" s="16"/>
      <c r="M28" s="67"/>
      <c r="N28" s="68"/>
    </row>
    <row r="29" spans="2:14" ht="18" customHeight="1" x14ac:dyDescent="0.2">
      <c r="B29" s="6"/>
      <c r="C29" s="83"/>
      <c r="D29" s="84"/>
      <c r="E29" s="83"/>
      <c r="F29" s="84"/>
      <c r="G29" s="83"/>
      <c r="H29" s="84"/>
      <c r="I29" s="83"/>
      <c r="J29" s="99"/>
      <c r="K29" s="70"/>
      <c r="L29" s="17"/>
      <c r="M29" s="63"/>
      <c r="N29" s="64"/>
    </row>
    <row r="30" spans="2:14" ht="18" customHeight="1" x14ac:dyDescent="0.2">
      <c r="B30" s="8"/>
      <c r="C30" s="85"/>
      <c r="D30" s="86"/>
      <c r="E30" s="85"/>
      <c r="F30" s="86"/>
      <c r="G30" s="85"/>
      <c r="H30" s="86"/>
      <c r="I30" s="108"/>
      <c r="J30" s="109"/>
      <c r="K30" s="70"/>
      <c r="L30" s="17"/>
      <c r="M30" s="63"/>
      <c r="N30" s="64"/>
    </row>
    <row r="31" spans="2:14" ht="18" customHeight="1" x14ac:dyDescent="0.2">
      <c r="B31" s="6"/>
      <c r="C31" s="83"/>
      <c r="D31" s="84"/>
      <c r="E31" s="83"/>
      <c r="F31" s="84"/>
      <c r="G31" s="83"/>
      <c r="H31" s="84"/>
      <c r="I31" s="83"/>
      <c r="J31" s="99"/>
      <c r="K31" s="14"/>
      <c r="L31" s="17"/>
      <c r="M31" s="63"/>
      <c r="N31" s="64"/>
    </row>
    <row r="32" spans="2:14" ht="18" customHeight="1" x14ac:dyDescent="0.2">
      <c r="B32" s="8"/>
      <c r="C32" s="85"/>
      <c r="D32" s="86"/>
      <c r="E32" s="85"/>
      <c r="F32" s="86"/>
      <c r="G32" s="85"/>
      <c r="H32" s="86"/>
      <c r="I32" s="95"/>
      <c r="J32" s="96"/>
      <c r="K32" s="14"/>
      <c r="L32" s="17"/>
      <c r="M32" s="63"/>
      <c r="N32" s="64"/>
    </row>
    <row r="33" spans="2:14" ht="18" customHeight="1" x14ac:dyDescent="0.2">
      <c r="B33" s="7"/>
      <c r="C33" s="89"/>
      <c r="D33" s="90"/>
      <c r="E33" s="89"/>
      <c r="F33" s="90"/>
      <c r="G33" s="89"/>
      <c r="H33" s="90"/>
      <c r="I33" s="110"/>
      <c r="J33" s="111"/>
      <c r="K33" s="15"/>
      <c r="L33" s="20"/>
      <c r="M33" s="106"/>
      <c r="N33" s="107"/>
    </row>
  </sheetData>
  <mergeCells count="122">
    <mergeCell ref="C33:D33"/>
    <mergeCell ref="E33:F33"/>
    <mergeCell ref="G33:H33"/>
    <mergeCell ref="I33:J33"/>
    <mergeCell ref="M33:N33"/>
    <mergeCell ref="C31:D31"/>
    <mergeCell ref="E31:F31"/>
    <mergeCell ref="G31:H31"/>
    <mergeCell ref="I31:J31"/>
    <mergeCell ref="M31:N31"/>
    <mergeCell ref="C32:D32"/>
    <mergeCell ref="E32:F32"/>
    <mergeCell ref="G32:H32"/>
    <mergeCell ref="I32:J32"/>
    <mergeCell ref="M32:N32"/>
    <mergeCell ref="M29:N29"/>
    <mergeCell ref="C30:D30"/>
    <mergeCell ref="E30:F30"/>
    <mergeCell ref="G30:H30"/>
    <mergeCell ref="I30:J30"/>
    <mergeCell ref="M30:N30"/>
    <mergeCell ref="C28:D28"/>
    <mergeCell ref="E28:F28"/>
    <mergeCell ref="G28:H28"/>
    <mergeCell ref="I28:J28"/>
    <mergeCell ref="K28:K30"/>
    <mergeCell ref="M28:N28"/>
    <mergeCell ref="C29:D29"/>
    <mergeCell ref="E29:F29"/>
    <mergeCell ref="G29:H29"/>
    <mergeCell ref="I29:J29"/>
    <mergeCell ref="I25:J25"/>
    <mergeCell ref="M25:N25"/>
    <mergeCell ref="C26:D26"/>
    <mergeCell ref="E26:F26"/>
    <mergeCell ref="G26:H26"/>
    <mergeCell ref="I26:J26"/>
    <mergeCell ref="M26:N26"/>
    <mergeCell ref="C27:D27"/>
    <mergeCell ref="E27:F27"/>
    <mergeCell ref="G27:H27"/>
    <mergeCell ref="I27:J27"/>
    <mergeCell ref="M27:N27"/>
    <mergeCell ref="M22:N22"/>
    <mergeCell ref="C23:D23"/>
    <mergeCell ref="E23:F23"/>
    <mergeCell ref="G23:H23"/>
    <mergeCell ref="I23:J23"/>
    <mergeCell ref="M23:N23"/>
    <mergeCell ref="C21:D21"/>
    <mergeCell ref="E21:F21"/>
    <mergeCell ref="G21:H21"/>
    <mergeCell ref="I21:J21"/>
    <mergeCell ref="M21:N21"/>
    <mergeCell ref="C22:D22"/>
    <mergeCell ref="E22:F22"/>
    <mergeCell ref="G22:H22"/>
    <mergeCell ref="I22:J22"/>
    <mergeCell ref="K22:K25"/>
    <mergeCell ref="C24:D24"/>
    <mergeCell ref="E24:F24"/>
    <mergeCell ref="G24:H24"/>
    <mergeCell ref="I24:J24"/>
    <mergeCell ref="M24:N24"/>
    <mergeCell ref="C25:D25"/>
    <mergeCell ref="E25:F25"/>
    <mergeCell ref="G25:H25"/>
    <mergeCell ref="C19:D19"/>
    <mergeCell ref="E19:F19"/>
    <mergeCell ref="G19:H19"/>
    <mergeCell ref="I19:J19"/>
    <mergeCell ref="M19:N19"/>
    <mergeCell ref="C20:D20"/>
    <mergeCell ref="E20:F20"/>
    <mergeCell ref="G20:H20"/>
    <mergeCell ref="I20:J20"/>
    <mergeCell ref="M20:N20"/>
    <mergeCell ref="M17:N17"/>
    <mergeCell ref="C18:D18"/>
    <mergeCell ref="E18:F18"/>
    <mergeCell ref="G18:H18"/>
    <mergeCell ref="I18:J18"/>
    <mergeCell ref="M18:N18"/>
    <mergeCell ref="C16:D16"/>
    <mergeCell ref="E16:F16"/>
    <mergeCell ref="G16:H16"/>
    <mergeCell ref="I16:J16"/>
    <mergeCell ref="K16:K18"/>
    <mergeCell ref="M16:N16"/>
    <mergeCell ref="C17:D17"/>
    <mergeCell ref="E17:F17"/>
    <mergeCell ref="G17:H17"/>
    <mergeCell ref="I17:J17"/>
    <mergeCell ref="C14:D14"/>
    <mergeCell ref="E14:F14"/>
    <mergeCell ref="G14:H14"/>
    <mergeCell ref="I14:J14"/>
    <mergeCell ref="M14:N14"/>
    <mergeCell ref="C15:D15"/>
    <mergeCell ref="E15:F15"/>
    <mergeCell ref="G15:H15"/>
    <mergeCell ref="I15:J15"/>
    <mergeCell ref="M15:N15"/>
    <mergeCell ref="M10:N10"/>
    <mergeCell ref="B11:J12"/>
    <mergeCell ref="M11:N11"/>
    <mergeCell ref="M12:N12"/>
    <mergeCell ref="C13:D13"/>
    <mergeCell ref="E13:F13"/>
    <mergeCell ref="G13:H13"/>
    <mergeCell ref="I13:J13"/>
    <mergeCell ref="M13:N13"/>
    <mergeCell ref="B2:B10"/>
    <mergeCell ref="K2:M3"/>
    <mergeCell ref="K4:K6"/>
    <mergeCell ref="M4:N4"/>
    <mergeCell ref="M5:N5"/>
    <mergeCell ref="M6:N6"/>
    <mergeCell ref="M7:N7"/>
    <mergeCell ref="M8:N8"/>
    <mergeCell ref="M9:N9"/>
    <mergeCell ref="K10:K12"/>
  </mergeCells>
  <conditionalFormatting sqref="C4:H4">
    <cfRule type="expression" dxfId="17" priority="3" stopIfTrue="1">
      <formula>DAY(C4)&gt;8</formula>
    </cfRule>
  </conditionalFormatting>
  <conditionalFormatting sqref="C8:I10">
    <cfRule type="expression" dxfId="16" priority="2" stopIfTrue="1">
      <formula>AND(DAY(C8)&gt;=1,DAY(C8)&lt;=15)</formula>
    </cfRule>
  </conditionalFormatting>
  <conditionalFormatting sqref="C4:I9">
    <cfRule type="expression" dxfId="15" priority="4">
      <formula>VLOOKUP(DAY(C4),DíasDeTareas,1,FALSE)=DAY(C4)</formula>
    </cfRule>
  </conditionalFormatting>
  <conditionalFormatting sqref="B14:J33">
    <cfRule type="expression" dxfId="14" priority="1">
      <formula>B14&lt;&gt;""</formula>
    </cfRule>
  </conditionalFormatting>
  <printOptions horizontalCentered="1"/>
  <pageMargins left="0.5" right="0.5" top="0.5" bottom="0.5" header="0.3" footer="0.3"/>
  <pageSetup scale="63"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so-contentType ?>
<FormTemplates xmlns="http://schemas.microsoft.com/sharepoint/v3/contenttype/forms">
  <Display>DocumentLibraryForm</Display>
  <Edit>AssetEditForm</Edit>
  <New>DocumentLibraryForm</New>
</FormTemplates>
</file>

<file path=customXml/itemProps1.xml><?xml version="1.0" encoding="utf-8"?>
<ds:datastoreItem xmlns:ds="http://schemas.openxmlformats.org/officeDocument/2006/customXml" ds:itemID="{642A2AB2-C96A-4F1D-A896-B2666E5A28B2}">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Hojas de cálculo</vt:lpstr>
      </vt:variant>
      <vt:variant>
        <vt:i4>12</vt:i4>
      </vt:variant>
      <vt:variant>
        <vt:lpstr>Rangos con nombre</vt:lpstr>
      </vt:variant>
      <vt:variant>
        <vt:i4>37</vt:i4>
      </vt:variant>
    </vt:vector>
  </HeadingPairs>
  <TitlesOfParts>
    <vt:vector size="49" baseType="lpstr">
      <vt:lpstr>Enero</vt:lpstr>
      <vt:lpstr>Febrero</vt:lpstr>
      <vt:lpstr>Marzo</vt:lpstr>
      <vt:lpstr>Abril</vt:lpstr>
      <vt:lpstr>Mayo</vt:lpstr>
      <vt:lpstr>Junio</vt:lpstr>
      <vt:lpstr>Julio</vt:lpstr>
      <vt:lpstr>Agosto</vt:lpstr>
      <vt:lpstr>Septiembre</vt:lpstr>
      <vt:lpstr>Octubre</vt:lpstr>
      <vt:lpstr>Noviembre</vt:lpstr>
      <vt:lpstr>Diciembre</vt:lpstr>
      <vt:lpstr>Año_Calendario</vt:lpstr>
      <vt:lpstr>Abril!Área_de_impresión</vt:lpstr>
      <vt:lpstr>Agosto!Área_de_impresión</vt:lpstr>
      <vt:lpstr>Diciembre!Área_de_impresión</vt:lpstr>
      <vt:lpstr>Enero!Área_de_impresión</vt:lpstr>
      <vt:lpstr>Febrero!Área_de_impresión</vt:lpstr>
      <vt:lpstr>Julio!Área_de_impresión</vt:lpstr>
      <vt:lpstr>Junio!Área_de_impresión</vt:lpstr>
      <vt:lpstr>Marzo!Área_de_impresión</vt:lpstr>
      <vt:lpstr>Mayo!Área_de_impresión</vt:lpstr>
      <vt:lpstr>Noviembre!Área_de_impresión</vt:lpstr>
      <vt:lpstr>Octubre!Área_de_impresión</vt:lpstr>
      <vt:lpstr>Septiembre!Área_de_impresión</vt:lpstr>
      <vt:lpstr>Abril!DíasDeTareas</vt:lpstr>
      <vt:lpstr>Agosto!DíasDeTareas</vt:lpstr>
      <vt:lpstr>Diciembre!DíasDeTareas</vt:lpstr>
      <vt:lpstr>Febrero!DíasDeTareas</vt:lpstr>
      <vt:lpstr>Julio!DíasDeTareas</vt:lpstr>
      <vt:lpstr>Junio!DíasDeTareas</vt:lpstr>
      <vt:lpstr>Marzo!DíasDeTareas</vt:lpstr>
      <vt:lpstr>Mayo!DíasDeTareas</vt:lpstr>
      <vt:lpstr>Noviembre!DíasDeTareas</vt:lpstr>
      <vt:lpstr>Octubre!DíasDeTareas</vt:lpstr>
      <vt:lpstr>Septiembre!DíasDeTareas</vt:lpstr>
      <vt:lpstr>DíasDeTareas</vt:lpstr>
      <vt:lpstr>Abril!TablaFechasImportantes</vt:lpstr>
      <vt:lpstr>Agosto!TablaFechasImportantes</vt:lpstr>
      <vt:lpstr>Diciembre!TablaFechasImportantes</vt:lpstr>
      <vt:lpstr>Febrero!TablaFechasImportantes</vt:lpstr>
      <vt:lpstr>Julio!TablaFechasImportantes</vt:lpstr>
      <vt:lpstr>Junio!TablaFechasImportantes</vt:lpstr>
      <vt:lpstr>Marzo!TablaFechasImportantes</vt:lpstr>
      <vt:lpstr>Mayo!TablaFechasImportantes</vt:lpstr>
      <vt:lpstr>Noviembre!TablaFechasImportantes</vt:lpstr>
      <vt:lpstr>Octubre!TablaFechasImportantes</vt:lpstr>
      <vt:lpstr>Septiembre!TablaFechasImportantes</vt:lpstr>
      <vt:lpstr>TablaFechasImportantes</vt:lpstr>
    </vt:vector>
  </TitlesOfParts>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Luffi</dc:creator>
  <cp:lastModifiedBy>Secretario</cp:lastModifiedBy>
  <cp:lastPrinted>2010-12-16T21:23:33Z</cp:lastPrinted>
  <dcterms:created xsi:type="dcterms:W3CDTF">2015-11-13T18:10:35Z</dcterms:created>
  <dcterms:modified xsi:type="dcterms:W3CDTF">2019-01-10T16:57:10Z</dcterms:modified>
  <cp:version/>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TemplateID">
    <vt:lpwstr>TC025512749991</vt:lpwstr>
  </property>
</Properties>
</file>