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95" windowHeight="8445"/>
  </bookViews>
  <sheets>
    <sheet name="Ingresos estimados" sheetId="1" r:id="rId1"/>
    <sheet name="Presupuesto egresos art.46LPCGC" sheetId="4" r:id="rId2"/>
  </sheets>
  <definedNames>
    <definedName name="_xlnm.Print_Area" localSheetId="1">'Presupuesto egresos art.46LPCGC'!$A$1:$P$82</definedName>
  </definedNames>
  <calcPr calcId="144525"/>
</workbook>
</file>

<file path=xl/calcChain.xml><?xml version="1.0" encoding="utf-8"?>
<calcChain xmlns="http://schemas.openxmlformats.org/spreadsheetml/2006/main">
  <c r="D78" i="4" l="1"/>
  <c r="D75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32" i="4"/>
  <c r="D33" i="4"/>
  <c r="D34" i="4"/>
  <c r="D35" i="4"/>
  <c r="D36" i="4"/>
  <c r="D37" i="4"/>
  <c r="D38" i="4"/>
  <c r="D39" i="4"/>
  <c r="D40" i="4"/>
  <c r="D41" i="4"/>
  <c r="D42" i="4"/>
  <c r="D46" i="4"/>
  <c r="D47" i="4"/>
  <c r="D49" i="4"/>
  <c r="D50" i="4"/>
  <c r="D51" i="4"/>
  <c r="D52" i="4"/>
  <c r="D53" i="4"/>
  <c r="D54" i="4"/>
  <c r="D31" i="4"/>
  <c r="D14" i="4"/>
  <c r="D16" i="4"/>
  <c r="D17" i="4"/>
  <c r="D20" i="4"/>
  <c r="D21" i="4"/>
  <c r="D22" i="4"/>
  <c r="D23" i="4"/>
  <c r="D24" i="4"/>
  <c r="D25" i="4"/>
  <c r="D26" i="4"/>
  <c r="D27" i="4"/>
  <c r="D28" i="4"/>
  <c r="D29" i="4"/>
  <c r="D13" i="4"/>
  <c r="D79" i="4"/>
  <c r="P79" i="4"/>
  <c r="O79" i="4"/>
  <c r="N79" i="4"/>
  <c r="M79" i="4"/>
  <c r="L79" i="4"/>
  <c r="K79" i="4"/>
  <c r="J79" i="4"/>
  <c r="I79" i="4"/>
  <c r="H79" i="4"/>
  <c r="G79" i="4"/>
  <c r="F79" i="4"/>
  <c r="E79" i="4"/>
  <c r="C79" i="4"/>
  <c r="K77" i="4"/>
  <c r="H77" i="4"/>
  <c r="C77" i="4"/>
  <c r="J76" i="4"/>
  <c r="D76" i="4" s="1"/>
  <c r="N74" i="4"/>
  <c r="F74" i="4"/>
  <c r="P57" i="4"/>
  <c r="P77" i="4" s="1"/>
  <c r="O57" i="4"/>
  <c r="O77" i="4" s="1"/>
  <c r="N57" i="4"/>
  <c r="N77" i="4" s="1"/>
  <c r="M57" i="4"/>
  <c r="M77" i="4" s="1"/>
  <c r="L57" i="4"/>
  <c r="L77" i="4" s="1"/>
  <c r="J57" i="4"/>
  <c r="J77" i="4" s="1"/>
  <c r="I57" i="4"/>
  <c r="I77" i="4" s="1"/>
  <c r="G57" i="4"/>
  <c r="G77" i="4" s="1"/>
  <c r="F57" i="4"/>
  <c r="E57" i="4"/>
  <c r="E77" i="4" s="1"/>
  <c r="C56" i="4"/>
  <c r="P55" i="4"/>
  <c r="N55" i="4"/>
  <c r="J55" i="4"/>
  <c r="P48" i="4"/>
  <c r="O48" i="4"/>
  <c r="N48" i="4"/>
  <c r="N56" i="4" s="1"/>
  <c r="M48" i="4"/>
  <c r="M56" i="4" s="1"/>
  <c r="L48" i="4"/>
  <c r="K48" i="4"/>
  <c r="K56" i="4" s="1"/>
  <c r="J48" i="4"/>
  <c r="I48" i="4"/>
  <c r="I56" i="4" s="1"/>
  <c r="H48" i="4"/>
  <c r="H56" i="4" s="1"/>
  <c r="G48" i="4"/>
  <c r="G56" i="4" s="1"/>
  <c r="F48" i="4"/>
  <c r="F56" i="4" s="1"/>
  <c r="E48" i="4"/>
  <c r="E56" i="4" s="1"/>
  <c r="P45" i="4"/>
  <c r="O45" i="4"/>
  <c r="L45" i="4"/>
  <c r="L56" i="4" s="1"/>
  <c r="P44" i="4"/>
  <c r="D44" i="4" s="1"/>
  <c r="O43" i="4"/>
  <c r="D43" i="4" s="1"/>
  <c r="C30" i="4"/>
  <c r="E19" i="4"/>
  <c r="D19" i="4" s="1"/>
  <c r="E18" i="4"/>
  <c r="D18" i="4" s="1"/>
  <c r="P15" i="4"/>
  <c r="P30" i="4" s="1"/>
  <c r="O15" i="4"/>
  <c r="N15" i="4"/>
  <c r="N30" i="4" s="1"/>
  <c r="M15" i="4"/>
  <c r="L15" i="4"/>
  <c r="L30" i="4" s="1"/>
  <c r="K15" i="4"/>
  <c r="J15" i="4"/>
  <c r="J30" i="4" s="1"/>
  <c r="I15" i="4"/>
  <c r="H15" i="4"/>
  <c r="H30" i="4" s="1"/>
  <c r="G15" i="4"/>
  <c r="F15" i="4"/>
  <c r="F30" i="4" s="1"/>
  <c r="E15" i="4"/>
  <c r="C81" i="4" l="1"/>
  <c r="D74" i="4"/>
  <c r="D15" i="4"/>
  <c r="D30" i="4" s="1"/>
  <c r="D55" i="4"/>
  <c r="D48" i="4"/>
  <c r="D45" i="4"/>
  <c r="D57" i="4"/>
  <c r="D77" i="4" s="1"/>
  <c r="O56" i="4"/>
  <c r="P56" i="4"/>
  <c r="J56" i="4"/>
  <c r="F77" i="4"/>
  <c r="F81" i="4" s="1"/>
  <c r="E30" i="4"/>
  <c r="E81" i="4" s="1"/>
  <c r="G30" i="4"/>
  <c r="G81" i="4" s="1"/>
  <c r="I30" i="4"/>
  <c r="I81" i="4" s="1"/>
  <c r="K30" i="4"/>
  <c r="K81" i="4" s="1"/>
  <c r="M30" i="4"/>
  <c r="M81" i="4" s="1"/>
  <c r="O30" i="4"/>
  <c r="O81" i="4" s="1"/>
  <c r="H81" i="4"/>
  <c r="J81" i="4"/>
  <c r="L81" i="4"/>
  <c r="N81" i="4"/>
  <c r="P81" i="4"/>
  <c r="D56" i="4" l="1"/>
  <c r="D81" i="4"/>
  <c r="C24" i="1" l="1"/>
  <c r="O23" i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C20" i="1"/>
  <c r="C19" i="1"/>
  <c r="C18" i="1"/>
  <c r="C17" i="1"/>
  <c r="C16" i="1"/>
  <c r="C15" i="1"/>
  <c r="C14" i="1"/>
  <c r="C13" i="1"/>
  <c r="C12" i="1"/>
  <c r="C11" i="1"/>
  <c r="C10" i="1"/>
  <c r="C9" i="1"/>
  <c r="N8" i="1"/>
  <c r="M8" i="1"/>
  <c r="L8" i="1"/>
  <c r="H8" i="1"/>
  <c r="F8" i="1"/>
  <c r="E8" i="1"/>
  <c r="D8" i="1"/>
  <c r="C8" i="1" s="1"/>
  <c r="C7" i="1"/>
  <c r="C21" i="1" l="1"/>
  <c r="C26" i="1" s="1"/>
</calcChain>
</file>

<file path=xl/sharedStrings.xml><?xml version="1.0" encoding="utf-8"?>
<sst xmlns="http://schemas.openxmlformats.org/spreadsheetml/2006/main" count="130" uniqueCount="117">
  <si>
    <r>
      <t xml:space="preserve">          PROYECTO PRESUPUESTO DE INGRESOS </t>
    </r>
    <r>
      <rPr>
        <b/>
        <sz val="36"/>
        <rFont val="Arial"/>
        <family val="2"/>
      </rPr>
      <t>2018</t>
    </r>
  </si>
  <si>
    <t>ORGANISMO OPERADOR DEL PARQUE DE LA SOLIDARIDAD</t>
  </si>
  <si>
    <t>Descripción</t>
  </si>
  <si>
    <t>Presupuesto 2018</t>
  </si>
  <si>
    <t xml:space="preserve"> Presupuesto de Ingresos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</si>
  <si>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</si>
  <si>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</si>
  <si>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</si>
  <si>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</si>
  <si>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</si>
  <si>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</si>
  <si>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</si>
  <si>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</si>
  <si>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</si>
  <si>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</si>
  <si>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</si>
  <si>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</si>
  <si>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 baños</t>
  </si>
  <si>
    <t>Uso auditorio</t>
  </si>
  <si>
    <t>Uso Terreno p/ SYT</t>
  </si>
  <si>
    <t>Uso Terreno p/circos</t>
  </si>
  <si>
    <t>Uso campos de fútbol</t>
  </si>
  <si>
    <t>Escuela de fútbol</t>
  </si>
  <si>
    <t>Liga deportivas</t>
  </si>
  <si>
    <t>Torneo de fútbol</t>
  </si>
  <si>
    <t>Curso de verano</t>
  </si>
  <si>
    <t>Eventos deportivos</t>
  </si>
  <si>
    <t>Concesiones Solidaridad</t>
  </si>
  <si>
    <t>Concesiones Montenegro</t>
  </si>
  <si>
    <t>Otros Ingresos</t>
  </si>
  <si>
    <t>Productos  financieros</t>
  </si>
  <si>
    <t>Total Ingresos Propios</t>
  </si>
  <si>
    <t>Subsidio</t>
  </si>
  <si>
    <t>Subtotal Subsidio</t>
  </si>
  <si>
    <t>Total Ingresos</t>
  </si>
  <si>
    <t>PROYECTO PRESUPESTO DE EGRESOS 2018</t>
  </si>
  <si>
    <t>PARTIDA</t>
  </si>
  <si>
    <t>CONCEPTO PARTIDA</t>
  </si>
  <si>
    <t>Asignación</t>
  </si>
  <si>
    <t>GASTO MENSUAL</t>
  </si>
  <si>
    <t>Inicial</t>
  </si>
  <si>
    <t>Sueldo base</t>
  </si>
  <si>
    <t>Prima quinquenal por años de servicios efectivos prestados</t>
  </si>
  <si>
    <t>Prima vacacional y dominical</t>
  </si>
  <si>
    <t>Aguinaldo</t>
  </si>
  <si>
    <t>Remuneraciones por horas extraordinarias</t>
  </si>
  <si>
    <t>Cuotas al IMSS por enfermedades y maternidad</t>
  </si>
  <si>
    <t>Cuotas para la vivienda</t>
  </si>
  <si>
    <t>Cuotas a pensiones</t>
  </si>
  <si>
    <t>Cuotas para el sistema de ahorro para el retiro</t>
  </si>
  <si>
    <t>Cuotas para el seguro de vida del personal</t>
  </si>
  <si>
    <t>Indemnizaciones por separación</t>
  </si>
  <si>
    <t>Fondo de retiro</t>
  </si>
  <si>
    <t>Estímulos al personal</t>
  </si>
  <si>
    <t>Otras medidas de carácter laboral y económicas</t>
  </si>
  <si>
    <t>Ayuda para despensa</t>
  </si>
  <si>
    <t>Ayuda para pasajes</t>
  </si>
  <si>
    <t>Estímulo por el día del servidor público</t>
  </si>
  <si>
    <t>Capítulo 1000 (Servicios Personales)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</si>
  <si>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</si>
  <si>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</si>
  <si>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</si>
  <si>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</si>
  <si>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el personal en las instalaciones de las dependencias y entidades</t>
  </si>
  <si>
    <t>Productos alimenticios para animales</t>
  </si>
  <si>
    <t>Utensilios para el servicio de alimentación</t>
  </si>
  <si>
    <t>Productos minerales no metálicos</t>
  </si>
  <si>
    <t>Cemento y productos de concreto</t>
  </si>
  <si>
    <t>Cal, yeso y productos de yeso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</si>
  <si>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</si>
  <si>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</si>
  <si>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</si>
  <si>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</si>
  <si>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</si>
  <si>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Fertilizantes, pesticidas y otros agroquímicos</t>
  </si>
  <si>
    <t>Fibras sintéticas, hules, plásticos y derivados</t>
  </si>
  <si>
    <t>Combustibles, lubricantes y aditivos para vehículos terrestres, aéreos, marítimos, lacustres y fluviales destinados a servicios públicos y la operación de programas públicos</t>
  </si>
  <si>
    <t>Vestuario y uniformes</t>
  </si>
  <si>
    <t>Prendas de seguridad y protección personal</t>
  </si>
  <si>
    <t>Artículos deportivos</t>
  </si>
  <si>
    <t>Herramientas menores</t>
  </si>
  <si>
    <t>Refacciones y accesorios menores de edificios</t>
  </si>
  <si>
    <t>Refacciones y accesorios menores de equipo de transporte</t>
  </si>
  <si>
    <t>Refacciones y accesorios menores de maquinaria y otros equipos</t>
  </si>
  <si>
    <t>Capítulo 2000 (Materiales y Suministros)</t>
  </si>
  <si>
    <t>Servicio de energía eléctrica</t>
  </si>
  <si>
    <t>Servicio de energía eléctrica para bombeo y tratamiento de agua</t>
  </si>
  <si>
    <t>Servicio telefónico tradicional</t>
  </si>
  <si>
    <t>Servicios de acceso de internet, redes y procesamiento de información</t>
  </si>
  <si>
    <t>Arrendamiento de equipo y bienes  informáticos</t>
  </si>
  <si>
    <t>Servicios legales, de contabilidad, auditoría y relacionados</t>
  </si>
  <si>
    <t>Servicio de Impresión de documentos y papelería oficial</t>
  </si>
  <si>
    <t>Servicio de digitalización de documentación</t>
  </si>
  <si>
    <t>Servicios de vigilancia</t>
  </si>
  <si>
    <t>Servicios bancarios y financieros</t>
  </si>
  <si>
    <t>Seguros de bienes patrimoniales</t>
  </si>
  <si>
    <t>Mantenimiento y conservación de inmuebles para la prestación de servicios administrativos</t>
  </si>
  <si>
    <t>Instalación, reparación y mantenimiento de equipo de cómputo y tecnologías de la información</t>
  </si>
  <si>
    <t>Mantenimiento y conservación de vehículos terrestres, aéreos, marítimos, lacustres y fluviales</t>
  </si>
  <si>
    <t>Instalación, reparación y mantenimiento de maquinaria y otros equipos</t>
  </si>
  <si>
    <t>Mantenimiento y conservación de maquinaria y equipo de trabajo específico</t>
  </si>
  <si>
    <t>Difusión por radio, televisión y otros medios de mensajes comerciales para promover la venta de bienes o servicios</t>
  </si>
  <si>
    <t>Otros impuestos y derechos</t>
  </si>
  <si>
    <t>Laudos Laborales</t>
  </si>
  <si>
    <t>Gastos menores</t>
  </si>
  <si>
    <t>Capítulo 3000 (Servicios Generales)</t>
  </si>
  <si>
    <t>Aportación para Erogaciones Contingentes</t>
  </si>
  <si>
    <t>Capítulo 4000 (Transferencias, Asignaciones, Subsidios y Otras Ayudas))</t>
  </si>
  <si>
    <t xml:space="preserve">Total Presupuesto </t>
  </si>
  <si>
    <t xml:space="preserve">Preupuesto </t>
  </si>
  <si>
    <t>LEY DE PRESUPUESTO, CONTABILIDAD Y GASTO PÚBLICO DEL ESTADO DE JALISCO</t>
  </si>
  <si>
    <t>Fundamento Artículo 46</t>
  </si>
  <si>
    <t>ejercido 2017</t>
  </si>
  <si>
    <t xml:space="preserve">En caso de que para el día 31 de diciembre no sea aprobado el  Presupuesto de Egresos correspondiente, </t>
  </si>
  <si>
    <t>del Ejecutivo del Estado a través de la Secretaría, deberá atender lo dispuesto por la Ley de Disciplina Financiera</t>
  </si>
  <si>
    <t xml:space="preserve">se aplicará el ejercido del año inmediato anterior, incluyendo sus modificaciones, en cuyo supuesto, el Titular </t>
  </si>
  <si>
    <t>de las Entidades Federativas y los Municipios y la Ley de Deuda y Dsiciplina Financiera del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</si>
</sst>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0000"/>
    <numFmt numFmtId="166" formatCode="#,##0_ ;[Red]\-#,##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indexed="9"/>
      <name val="Arial"/>
      <family val="2"/>
    </font>
    <font>
      <b/>
      <i/>
      <sz val="9"/>
      <color indexed="9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b/>
      <sz val="9"/>
      <color rgb="FF99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164" fontId="8" fillId="0" borderId="0" xfId="0" applyNumberFormat="1" applyFont="1" applyFill="1" applyAlignment="1"/>
    <xf numFmtId="0" fontId="5" fillId="0" borderId="0" xfId="0" applyFont="1" applyFill="1" applyAlignment="1"/>
    <xf numFmtId="0" fontId="8" fillId="0" borderId="0" xfId="0" applyFont="1" applyFill="1" applyAlignment="1"/>
    <xf numFmtId="0" fontId="5" fillId="0" borderId="0" xfId="0" applyFont="1"/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/>
    <xf numFmtId="3" fontId="13" fillId="0" borderId="2" xfId="0" applyNumberFormat="1" applyFont="1" applyFill="1" applyBorder="1" applyAlignment="1">
      <alignment vertical="center" wrapText="1"/>
    </xf>
    <xf numFmtId="3" fontId="13" fillId="0" borderId="2" xfId="0" applyNumberFormat="1" applyFont="1" applyFill="1" applyBorder="1"/>
    <xf numFmtId="0" fontId="12" fillId="0" borderId="0" xfId="0" applyFont="1"/>
    <xf numFmtId="3" fontId="13" fillId="0" borderId="2" xfId="0" applyNumberFormat="1" applyFont="1" applyBorder="1"/>
    <xf numFmtId="3" fontId="13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0" fontId="12" fillId="0" borderId="0" xfId="0" applyFont="1" applyBorder="1"/>
    <xf numFmtId="3" fontId="12" fillId="0" borderId="0" xfId="0" applyNumberFormat="1" applyFont="1" applyBorder="1"/>
    <xf numFmtId="164" fontId="13" fillId="0" borderId="5" xfId="0" applyNumberFormat="1" applyFont="1" applyFill="1" applyBorder="1" applyAlignment="1">
      <alignment horizontal="center" vertical="center"/>
    </xf>
    <xf numFmtId="3" fontId="12" fillId="0" borderId="0" xfId="0" applyNumberFormat="1" applyFont="1"/>
    <xf numFmtId="164" fontId="13" fillId="0" borderId="6" xfId="0" applyNumberFormat="1" applyFont="1" applyFill="1" applyBorder="1" applyAlignment="1">
      <alignment horizontal="center" vertical="center"/>
    </xf>
    <xf numFmtId="165" fontId="14" fillId="4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right" wrapText="1"/>
    </xf>
    <xf numFmtId="3" fontId="14" fillId="4" borderId="2" xfId="0" applyNumberFormat="1" applyFont="1" applyFill="1" applyBorder="1" applyAlignment="1">
      <alignment horizontal="right"/>
    </xf>
    <xf numFmtId="3" fontId="14" fillId="4" borderId="2" xfId="0" applyNumberFormat="1" applyFont="1" applyFill="1" applyBorder="1"/>
    <xf numFmtId="4" fontId="13" fillId="0" borderId="2" xfId="0" applyNumberFormat="1" applyFont="1" applyBorder="1"/>
    <xf numFmtId="3" fontId="13" fillId="0" borderId="2" xfId="0" applyNumberFormat="1" applyFont="1" applyBorder="1" applyAlignment="1">
      <alignment vertical="center" wrapText="1"/>
    </xf>
    <xf numFmtId="3" fontId="13" fillId="0" borderId="0" xfId="0" applyNumberFormat="1" applyFont="1" applyBorder="1"/>
    <xf numFmtId="0" fontId="11" fillId="0" borderId="0" xfId="0" applyFont="1" applyBorder="1"/>
    <xf numFmtId="0" fontId="11" fillId="0" borderId="0" xfId="0" applyFont="1"/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3" fontId="13" fillId="0" borderId="7" xfId="0" applyNumberFormat="1" applyFont="1" applyBorder="1"/>
    <xf numFmtId="0" fontId="16" fillId="2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right" vertical="center"/>
    </xf>
    <xf numFmtId="3" fontId="16" fillId="3" borderId="2" xfId="0" applyNumberFormat="1" applyFont="1" applyFill="1" applyBorder="1" applyAlignment="1">
      <alignment horizontal="right" vertical="center"/>
    </xf>
    <xf numFmtId="3" fontId="16" fillId="3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3" fontId="2" fillId="0" borderId="0" xfId="0" applyNumberFormat="1" applyFont="1"/>
    <xf numFmtId="0" fontId="13" fillId="0" borderId="0" xfId="0" applyFont="1" applyAlignment="1">
      <alignment horizontal="center" vertical="center"/>
    </xf>
    <xf numFmtId="0" fontId="0" fillId="0" borderId="0" xfId="0" applyFill="1" applyBorder="1"/>
    <xf numFmtId="0" fontId="18" fillId="0" borderId="0" xfId="0" applyFont="1" applyFill="1" applyAlignment="1"/>
    <xf numFmtId="0" fontId="5" fillId="0" borderId="0" xfId="0" applyFont="1" applyFill="1" applyBorder="1" applyAlignment="1"/>
    <xf numFmtId="0" fontId="2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19" fillId="0" borderId="0" xfId="0" applyFont="1"/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164" fontId="8" fillId="0" borderId="0" xfId="0" applyNumberFormat="1" applyFont="1" applyFill="1" applyAlignment="1">
      <alignment vertical="center" wrapText="1"/>
    </xf>
    <xf numFmtId="0" fontId="21" fillId="0" borderId="8" xfId="0" applyFont="1" applyBorder="1" applyAlignment="1">
      <alignment horizontal="left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0" xfId="0" applyFont="1" applyAlignment="1">
      <alignment vertical="center"/>
    </xf>
    <xf numFmtId="166" fontId="24" fillId="5" borderId="10" xfId="0" applyNumberFormat="1" applyFont="1" applyFill="1" applyBorder="1" applyAlignment="1">
      <alignment horizontal="center" vertical="center"/>
    </xf>
    <xf numFmtId="166" fontId="24" fillId="5" borderId="14" xfId="0" applyNumberFormat="1" applyFont="1" applyFill="1" applyBorder="1" applyAlignment="1">
      <alignment horizontal="center" vertical="center"/>
    </xf>
    <xf numFmtId="166" fontId="24" fillId="5" borderId="15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justify" vertical="center" wrapText="1"/>
    </xf>
    <xf numFmtId="166" fontId="23" fillId="0" borderId="2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horizontal="justify" vertical="center" wrapText="1"/>
    </xf>
    <xf numFmtId="166" fontId="23" fillId="0" borderId="2" xfId="0" applyNumberFormat="1" applyFont="1" applyBorder="1" applyAlignment="1">
      <alignment vertical="center"/>
    </xf>
    <xf numFmtId="166" fontId="24" fillId="5" borderId="16" xfId="0" applyNumberFormat="1" applyFont="1" applyFill="1" applyBorder="1" applyAlignment="1">
      <alignment horizontal="right" vertical="center"/>
    </xf>
    <xf numFmtId="166" fontId="24" fillId="5" borderId="15" xfId="0" applyNumberFormat="1" applyFont="1" applyFill="1" applyBorder="1" applyAlignment="1">
      <alignment horizontal="right" vertical="center"/>
    </xf>
    <xf numFmtId="166" fontId="24" fillId="5" borderId="17" xfId="0" applyNumberFormat="1" applyFont="1" applyFill="1" applyBorder="1" applyAlignment="1">
      <alignment horizontal="right" vertical="center"/>
    </xf>
    <xf numFmtId="166" fontId="23" fillId="0" borderId="2" xfId="0" applyNumberFormat="1" applyFont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/>
    <xf numFmtId="0" fontId="13" fillId="0" borderId="0" xfId="0" applyFont="1" applyAlignment="1">
      <alignment vertical="center"/>
    </xf>
    <xf numFmtId="0" fontId="20" fillId="0" borderId="0" xfId="0" applyFont="1" applyFill="1" applyAlignment="1"/>
    <xf numFmtId="166" fontId="24" fillId="5" borderId="1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24" fillId="5" borderId="19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43" fontId="25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43" fontId="13" fillId="0" borderId="0" xfId="0" applyNumberFormat="1" applyFont="1" applyAlignment="1">
      <alignment vertical="center"/>
    </xf>
    <xf numFmtId="166" fontId="24" fillId="5" borderId="19" xfId="0" applyNumberFormat="1" applyFont="1" applyFill="1" applyBorder="1" applyAlignment="1">
      <alignment horizontal="right" vertical="center"/>
    </xf>
    <xf numFmtId="166" fontId="24" fillId="5" borderId="20" xfId="0" applyNumberFormat="1" applyFont="1" applyFill="1" applyBorder="1" applyAlignment="1">
      <alignment horizontal="right" vertical="center"/>
    </xf>
    <xf numFmtId="166" fontId="23" fillId="0" borderId="2" xfId="0" applyNumberFormat="1" applyFont="1" applyFill="1" applyBorder="1" applyAlignment="1" applyProtection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166" fontId="14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29" fillId="0" borderId="0" xfId="0" applyFont="1" applyFill="1"/>
    <xf numFmtId="0" fontId="10" fillId="2" borderId="1" xfId="0" applyFont="1" applyFill="1" applyBorder="1" applyAlignment="1">
      <alignment horizontal="center" vertical="center" textRotation="90"/>
    </xf>
    <xf numFmtId="0" fontId="10" fillId="2" borderId="3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166" fontId="24" fillId="5" borderId="9" xfId="0" applyNumberFormat="1" applyFont="1" applyFill="1" applyBorder="1" applyAlignment="1">
      <alignment horizontal="center" vertical="center"/>
    </xf>
    <xf numFmtId="166" fontId="24" fillId="5" borderId="13" xfId="0" applyNumberFormat="1" applyFont="1" applyFill="1" applyBorder="1" applyAlignment="1">
      <alignment horizontal="center" vertical="center"/>
    </xf>
    <xf numFmtId="166" fontId="24" fillId="5" borderId="10" xfId="0" applyNumberFormat="1" applyFont="1" applyFill="1" applyBorder="1" applyAlignment="1">
      <alignment horizontal="center" vertical="center"/>
    </xf>
    <xf numFmtId="166" fontId="24" fillId="5" borderId="14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57150</xdr:rowOff>
    </xdr:from>
    <xdr:to>
      <xdr:col>1</xdr:col>
      <xdr:colOff>1809750</xdr:colOff>
      <xdr:row>3</xdr:row>
      <xdr:rowOff>104775</xdr:rowOff>
    </xdr:to>
    <xdr:pic>
      <xdr:nvPicPr>
        <xdr:cNvPr id="2" name="1 Imagen" descr="LOGOJALISC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57150"/>
          <a:ext cx="12573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0</xdr:row>
      <xdr:rowOff>114300</xdr:rowOff>
    </xdr:from>
    <xdr:to>
      <xdr:col>14</xdr:col>
      <xdr:colOff>542925</xdr:colOff>
      <xdr:row>3</xdr:row>
      <xdr:rowOff>114300</xdr:rowOff>
    </xdr:to>
    <xdr:pic>
      <xdr:nvPicPr>
        <xdr:cNvPr id="3" name="2 Imagen" descr="logo2013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10825" y="114300"/>
          <a:ext cx="12287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57150</xdr:rowOff>
    </xdr:from>
    <xdr:to>
      <xdr:col>1</xdr:col>
      <xdr:colOff>1847849</xdr:colOff>
      <xdr:row>4</xdr:row>
      <xdr:rowOff>200025</xdr:rowOff>
    </xdr:to>
    <xdr:pic>
      <xdr:nvPicPr>
        <xdr:cNvPr id="2" name="1 Imagen" descr="LOGOJALISC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57150"/>
          <a:ext cx="1266824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0</xdr:row>
      <xdr:rowOff>95250</xdr:rowOff>
    </xdr:from>
    <xdr:to>
      <xdr:col>14</xdr:col>
      <xdr:colOff>504825</xdr:colOff>
      <xdr:row>5</xdr:row>
      <xdr:rowOff>95250</xdr:rowOff>
    </xdr:to>
    <xdr:pic>
      <xdr:nvPicPr>
        <xdr:cNvPr id="3" name="2 Imagen" descr="logo2013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20400" y="95250"/>
          <a:ext cx="11239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9"/>
  <sheetViews>
    <sheetView tabSelected="1" workbookViewId="0">
      <selection activeCell="D11" sqref="D11:E13"/>
    </sheetView>
  </sheetViews>
  <sheetFormatPr baseColWidth="10" defaultColWidth="4.7109375" defaultRowHeight="12.75" x14ac:dyDescent="0.2"/>
  <cols>
    <col min="1" max="1" width="2.140625" style="9" customWidth="1"/>
    <col min="2" max="2" width="34" style="2" customWidth="1"/>
    <col min="3" max="3" width="12" style="2" customWidth="1"/>
    <col min="4" max="4" width="11.5703125" style="2" bestFit="1" customWidth="1"/>
    <col min="5" max="5" width="11.85546875" style="2" bestFit="1" customWidth="1"/>
    <col min="6" max="6" width="11.5703125" style="2" bestFit="1" customWidth="1"/>
    <col min="7" max="7" width="10.28515625" style="2" customWidth="1"/>
    <col min="8" max="8" width="11.5703125" style="2" bestFit="1" customWidth="1"/>
    <col min="9" max="9" width="10.85546875" style="2" customWidth="1"/>
    <col min="10" max="10" width="9.42578125" style="2" customWidth="1"/>
    <col min="11" max="14" width="10.28515625" style="2" customWidth="1"/>
    <col min="15" max="15" width="10.85546875" style="2" customWidth="1"/>
    <col min="16" max="250" width="11.42578125" style="2" customWidth="1"/>
    <col min="251" max="16384" width="4.7109375" style="2"/>
  </cols>
  <sheetData>
    <row r="1" spans="1:251" ht="45" x14ac:dyDescent="0.6">
      <c r="A1" s="1"/>
      <c r="C1" s="3" t="s">
        <v>0</v>
      </c>
      <c r="D1"/>
      <c r="G1"/>
      <c r="K1"/>
      <c r="M1" s="4"/>
      <c r="N1" s="4"/>
      <c r="O1" s="4"/>
      <c r="P1" s="4"/>
      <c r="Q1" s="4"/>
      <c r="R1" s="4"/>
      <c r="S1" s="5"/>
      <c r="T1" s="5"/>
    </row>
    <row r="2" spans="1:251" ht="18" x14ac:dyDescent="0.25">
      <c r="A2" s="6"/>
      <c r="D2" s="7" t="s">
        <v>1</v>
      </c>
      <c r="F2" s="4"/>
      <c r="I2" s="8"/>
      <c r="J2" s="8"/>
      <c r="L2" s="8"/>
      <c r="M2" s="8"/>
      <c r="N2" s="8"/>
      <c r="O2" s="8"/>
      <c r="P2" s="8"/>
      <c r="Q2" s="8"/>
      <c r="R2"/>
      <c r="S2"/>
      <c r="T2"/>
    </row>
    <row r="3" spans="1:251" ht="20.25" x14ac:dyDescent="0.3">
      <c r="C3" s="10"/>
      <c r="D3" s="11"/>
      <c r="E3" s="11"/>
      <c r="F3" s="11"/>
      <c r="G3" s="11"/>
      <c r="H3" s="11"/>
      <c r="I3" s="12"/>
      <c r="L3" s="11"/>
      <c r="M3" s="5"/>
      <c r="N3" s="13"/>
      <c r="O3" s="14"/>
      <c r="P3" s="15"/>
    </row>
    <row r="4" spans="1:251" x14ac:dyDescent="0.2">
      <c r="A4" s="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251" ht="12.75" customHeight="1" x14ac:dyDescent="0.2">
      <c r="A5" s="109"/>
      <c r="B5" s="111" t="s">
        <v>2</v>
      </c>
      <c r="C5" s="113" t="s">
        <v>3</v>
      </c>
      <c r="D5" s="115" t="s">
        <v>4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</row>
    <row r="6" spans="1:251" x14ac:dyDescent="0.2">
      <c r="A6" s="110"/>
      <c r="B6" s="112"/>
      <c r="C6" s="114"/>
      <c r="D6" s="18" t="s">
        <v>5</v>
      </c>
      <c r="E6" s="18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8" t="s">
        <v>12</v>
      </c>
      <c r="L6" s="18" t="s">
        <v>13</v>
      </c>
      <c r="M6" s="18" t="s">
        <v>14</v>
      </c>
      <c r="N6" s="18" t="s">
        <v>15</v>
      </c>
      <c r="O6" s="18" t="s">
        <v>16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</row>
    <row r="7" spans="1:251" s="24" customFormat="1" ht="12" x14ac:dyDescent="0.2">
      <c r="A7" s="20"/>
      <c r="B7" s="21" t="s">
        <v>17</v>
      </c>
      <c r="C7" s="22">
        <f>SUM(D7:O7)</f>
        <v>320000</v>
      </c>
      <c r="D7" s="23">
        <v>0</v>
      </c>
      <c r="E7" s="23">
        <v>20000</v>
      </c>
      <c r="F7" s="23">
        <v>30000</v>
      </c>
      <c r="G7" s="23">
        <v>30000</v>
      </c>
      <c r="H7" s="23">
        <v>30000</v>
      </c>
      <c r="I7" s="23">
        <v>30000</v>
      </c>
      <c r="J7" s="23">
        <v>30000</v>
      </c>
      <c r="K7" s="23">
        <v>30000</v>
      </c>
      <c r="L7" s="23">
        <v>30000</v>
      </c>
      <c r="M7" s="23">
        <v>30000</v>
      </c>
      <c r="N7" s="23">
        <v>30000</v>
      </c>
      <c r="O7" s="23">
        <v>30000</v>
      </c>
      <c r="Q7" s="17"/>
      <c r="R7" s="17"/>
    </row>
    <row r="8" spans="1:251" s="24" customFormat="1" ht="12" x14ac:dyDescent="0.2">
      <c r="A8" s="20"/>
      <c r="B8" s="21" t="s">
        <v>18</v>
      </c>
      <c r="C8" s="22">
        <f>SUM(D8:O8)</f>
        <v>316240</v>
      </c>
      <c r="D8" s="23">
        <f>16240*2</f>
        <v>32480</v>
      </c>
      <c r="E8" s="23">
        <f>16240*3</f>
        <v>48720</v>
      </c>
      <c r="F8" s="23">
        <f>(16240*4)</f>
        <v>64960</v>
      </c>
      <c r="G8" s="23">
        <v>20000</v>
      </c>
      <c r="H8" s="25">
        <f>20000+16400</f>
        <v>36400</v>
      </c>
      <c r="I8" s="23">
        <v>0</v>
      </c>
      <c r="J8" s="26">
        <v>0</v>
      </c>
      <c r="K8" s="27">
        <v>0</v>
      </c>
      <c r="L8" s="27">
        <f>16240*3</f>
        <v>48720</v>
      </c>
      <c r="M8" s="27">
        <f>16240*2</f>
        <v>32480</v>
      </c>
      <c r="N8" s="27">
        <f>16240*2</f>
        <v>32480</v>
      </c>
      <c r="O8" s="27">
        <v>0</v>
      </c>
      <c r="Q8" s="17"/>
      <c r="R8" s="17"/>
    </row>
    <row r="9" spans="1:251" s="24" customFormat="1" ht="12" x14ac:dyDescent="0.2">
      <c r="A9" s="20"/>
      <c r="B9" s="21" t="s">
        <v>19</v>
      </c>
      <c r="C9" s="22">
        <f t="shared" ref="C9:C20" si="0">SUM(D9:O9)</f>
        <v>152640</v>
      </c>
      <c r="D9" s="23">
        <v>12720</v>
      </c>
      <c r="E9" s="23">
        <v>12720</v>
      </c>
      <c r="F9" s="23">
        <v>12720</v>
      </c>
      <c r="G9" s="23">
        <v>12720</v>
      </c>
      <c r="H9" s="23">
        <v>12720</v>
      </c>
      <c r="I9" s="23">
        <v>12720</v>
      </c>
      <c r="J9" s="23">
        <v>12720</v>
      </c>
      <c r="K9" s="23">
        <v>12720</v>
      </c>
      <c r="L9" s="23">
        <v>12720</v>
      </c>
      <c r="M9" s="23">
        <v>12720</v>
      </c>
      <c r="N9" s="23">
        <v>12720</v>
      </c>
      <c r="O9" s="23">
        <v>12720</v>
      </c>
      <c r="Q9" s="17"/>
      <c r="R9" s="17"/>
    </row>
    <row r="10" spans="1:251" s="24" customFormat="1" ht="12" x14ac:dyDescent="0.2">
      <c r="A10" s="20"/>
      <c r="B10" s="21" t="s">
        <v>20</v>
      </c>
      <c r="C10" s="22">
        <f t="shared" si="0"/>
        <v>58000</v>
      </c>
      <c r="D10" s="23">
        <v>0</v>
      </c>
      <c r="E10" s="23">
        <v>24000</v>
      </c>
      <c r="F10" s="23">
        <v>34000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Q10" s="17"/>
      <c r="R10" s="17"/>
    </row>
    <row r="11" spans="1:251" s="24" customFormat="1" ht="12" x14ac:dyDescent="0.2">
      <c r="A11" s="20"/>
      <c r="B11" s="21" t="s">
        <v>21</v>
      </c>
      <c r="C11" s="22">
        <f t="shared" si="0"/>
        <v>71500</v>
      </c>
      <c r="D11" s="23">
        <v>1000</v>
      </c>
      <c r="E11" s="23">
        <v>3500</v>
      </c>
      <c r="F11" s="23">
        <v>5500</v>
      </c>
      <c r="G11" s="23">
        <v>20000</v>
      </c>
      <c r="H11" s="25">
        <v>5000</v>
      </c>
      <c r="I11" s="23">
        <v>12000</v>
      </c>
      <c r="J11" s="26">
        <v>3200</v>
      </c>
      <c r="K11" s="27">
        <v>3600</v>
      </c>
      <c r="L11" s="27">
        <v>9000</v>
      </c>
      <c r="M11" s="27">
        <v>4200</v>
      </c>
      <c r="N11" s="27">
        <v>1500</v>
      </c>
      <c r="O11" s="27">
        <v>3000</v>
      </c>
      <c r="Q11" s="17"/>
      <c r="R11" s="17"/>
    </row>
    <row r="12" spans="1:251" s="24" customFormat="1" ht="12" x14ac:dyDescent="0.2">
      <c r="A12" s="20"/>
      <c r="B12" s="21" t="s">
        <v>22</v>
      </c>
      <c r="C12" s="22">
        <f t="shared" si="0"/>
        <v>753000</v>
      </c>
      <c r="D12" s="23">
        <v>89000</v>
      </c>
      <c r="E12" s="23">
        <v>71000</v>
      </c>
      <c r="F12" s="23">
        <v>68000</v>
      </c>
      <c r="G12" s="23">
        <v>46000</v>
      </c>
      <c r="H12" s="23">
        <v>67000</v>
      </c>
      <c r="I12" s="23">
        <v>82000</v>
      </c>
      <c r="J12" s="23">
        <v>40000</v>
      </c>
      <c r="K12" s="23">
        <v>55000</v>
      </c>
      <c r="L12" s="23">
        <v>78000</v>
      </c>
      <c r="M12" s="23">
        <v>70000</v>
      </c>
      <c r="N12" s="23">
        <v>55000</v>
      </c>
      <c r="O12" s="23">
        <v>32000</v>
      </c>
      <c r="Q12" s="17"/>
      <c r="R12" s="17"/>
    </row>
    <row r="13" spans="1:251" s="24" customFormat="1" ht="12" x14ac:dyDescent="0.2">
      <c r="A13" s="20"/>
      <c r="B13" s="21" t="s">
        <v>23</v>
      </c>
      <c r="C13" s="22">
        <f t="shared" si="0"/>
        <v>539000</v>
      </c>
      <c r="D13" s="23">
        <v>47000</v>
      </c>
      <c r="E13" s="23">
        <v>55000</v>
      </c>
      <c r="F13" s="23">
        <v>49000</v>
      </c>
      <c r="G13" s="23">
        <v>30000</v>
      </c>
      <c r="H13" s="23">
        <v>57000</v>
      </c>
      <c r="I13" s="23">
        <v>55000</v>
      </c>
      <c r="J13" s="23">
        <v>34000</v>
      </c>
      <c r="K13" s="23">
        <v>44000</v>
      </c>
      <c r="L13" s="23">
        <v>33000</v>
      </c>
      <c r="M13" s="23">
        <v>38000</v>
      </c>
      <c r="N13" s="23">
        <v>69000</v>
      </c>
      <c r="O13" s="23">
        <v>28000</v>
      </c>
      <c r="Q13" s="17"/>
      <c r="R13" s="17"/>
    </row>
    <row r="14" spans="1:251" s="24" customFormat="1" ht="12" x14ac:dyDescent="0.2">
      <c r="A14" s="20"/>
      <c r="B14" s="21" t="s">
        <v>24</v>
      </c>
      <c r="C14" s="22">
        <f t="shared" si="0"/>
        <v>108000</v>
      </c>
      <c r="D14" s="23">
        <v>0</v>
      </c>
      <c r="E14" s="23">
        <v>0</v>
      </c>
      <c r="F14" s="23">
        <v>0</v>
      </c>
      <c r="G14" s="23">
        <v>0</v>
      </c>
      <c r="H14" s="25">
        <v>0</v>
      </c>
      <c r="I14" s="23">
        <v>0</v>
      </c>
      <c r="J14" s="26">
        <v>108000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8"/>
      <c r="Q14" s="29"/>
      <c r="R14" s="28"/>
      <c r="S14" s="28"/>
      <c r="T14" s="28"/>
      <c r="U14" s="28"/>
    </row>
    <row r="15" spans="1:251" s="24" customFormat="1" ht="12" x14ac:dyDescent="0.2">
      <c r="A15" s="20"/>
      <c r="B15" s="21" t="s">
        <v>25</v>
      </c>
      <c r="C15" s="22">
        <f t="shared" si="0"/>
        <v>40000</v>
      </c>
      <c r="D15" s="23">
        <v>0</v>
      </c>
      <c r="E15" s="23">
        <v>0</v>
      </c>
      <c r="F15" s="23">
        <v>0</v>
      </c>
      <c r="G15" s="23">
        <v>0</v>
      </c>
      <c r="H15" s="25">
        <v>0</v>
      </c>
      <c r="I15" s="23">
        <v>0</v>
      </c>
      <c r="J15" s="26">
        <v>30000</v>
      </c>
      <c r="K15" s="27">
        <v>10000</v>
      </c>
      <c r="L15" s="27">
        <v>0</v>
      </c>
      <c r="M15" s="27">
        <v>0</v>
      </c>
      <c r="N15" s="27">
        <v>0</v>
      </c>
      <c r="O15" s="27">
        <v>0</v>
      </c>
      <c r="P15" s="28"/>
      <c r="Q15" s="29"/>
      <c r="R15" s="28"/>
      <c r="S15" s="28"/>
      <c r="T15" s="28"/>
      <c r="U15" s="28"/>
    </row>
    <row r="16" spans="1:251" s="24" customFormat="1" ht="12" x14ac:dyDescent="0.2">
      <c r="A16" s="20"/>
      <c r="B16" s="21" t="s">
        <v>26</v>
      </c>
      <c r="C16" s="22">
        <f t="shared" si="0"/>
        <v>21000</v>
      </c>
      <c r="D16" s="23">
        <v>0</v>
      </c>
      <c r="E16" s="23">
        <v>0</v>
      </c>
      <c r="F16" s="23">
        <v>7000</v>
      </c>
      <c r="G16" s="23">
        <v>0</v>
      </c>
      <c r="H16" s="23">
        <v>7000</v>
      </c>
      <c r="I16" s="23">
        <v>0</v>
      </c>
      <c r="J16" s="26">
        <v>0</v>
      </c>
      <c r="K16" s="27">
        <v>0</v>
      </c>
      <c r="L16" s="27">
        <v>0</v>
      </c>
      <c r="M16" s="23">
        <v>7000</v>
      </c>
      <c r="N16" s="27">
        <v>0</v>
      </c>
      <c r="O16" s="27">
        <v>0</v>
      </c>
      <c r="P16" s="28"/>
      <c r="Q16" s="29"/>
      <c r="R16" s="28"/>
      <c r="S16" s="28"/>
      <c r="T16" s="28"/>
      <c r="U16" s="28"/>
    </row>
    <row r="17" spans="1:251" s="24" customFormat="1" ht="12" x14ac:dyDescent="0.2">
      <c r="A17" s="30"/>
      <c r="B17" s="21" t="s">
        <v>27</v>
      </c>
      <c r="C17" s="22">
        <f t="shared" si="0"/>
        <v>1279860</v>
      </c>
      <c r="D17" s="23">
        <v>101155</v>
      </c>
      <c r="E17" s="23">
        <v>107155</v>
      </c>
      <c r="F17" s="23">
        <v>107155</v>
      </c>
      <c r="G17" s="23">
        <v>107155</v>
      </c>
      <c r="H17" s="23">
        <v>107155</v>
      </c>
      <c r="I17" s="23">
        <v>107155</v>
      </c>
      <c r="J17" s="23">
        <v>107155</v>
      </c>
      <c r="K17" s="23">
        <v>107155</v>
      </c>
      <c r="L17" s="23">
        <v>107155</v>
      </c>
      <c r="M17" s="23">
        <v>107155</v>
      </c>
      <c r="N17" s="23">
        <v>107155</v>
      </c>
      <c r="O17" s="23">
        <v>107155</v>
      </c>
      <c r="Q17" s="31"/>
    </row>
    <row r="18" spans="1:251" s="24" customFormat="1" ht="12" x14ac:dyDescent="0.2">
      <c r="A18" s="30"/>
      <c r="B18" s="21" t="s">
        <v>28</v>
      </c>
      <c r="C18" s="22">
        <f t="shared" si="0"/>
        <v>447320</v>
      </c>
      <c r="D18" s="23">
        <v>34985</v>
      </c>
      <c r="E18" s="23">
        <v>37485</v>
      </c>
      <c r="F18" s="23">
        <v>37485</v>
      </c>
      <c r="G18" s="23">
        <v>37485</v>
      </c>
      <c r="H18" s="23">
        <v>37485</v>
      </c>
      <c r="I18" s="23">
        <v>37485</v>
      </c>
      <c r="J18" s="23">
        <v>37485</v>
      </c>
      <c r="K18" s="23">
        <v>37485</v>
      </c>
      <c r="L18" s="23">
        <v>37485</v>
      </c>
      <c r="M18" s="23">
        <v>37485</v>
      </c>
      <c r="N18" s="23">
        <v>37485</v>
      </c>
      <c r="O18" s="23">
        <v>37485</v>
      </c>
      <c r="Q18" s="31"/>
    </row>
    <row r="19" spans="1:251" s="24" customFormat="1" ht="12" x14ac:dyDescent="0.2">
      <c r="A19" s="30"/>
      <c r="B19" s="21" t="s">
        <v>29</v>
      </c>
      <c r="C19" s="22">
        <f t="shared" si="0"/>
        <v>36000</v>
      </c>
      <c r="D19" s="23">
        <v>3000</v>
      </c>
      <c r="E19" s="23">
        <v>3000</v>
      </c>
      <c r="F19" s="23">
        <v>3000</v>
      </c>
      <c r="G19" s="23">
        <v>3000</v>
      </c>
      <c r="H19" s="23">
        <v>3000</v>
      </c>
      <c r="I19" s="23">
        <v>3000</v>
      </c>
      <c r="J19" s="23">
        <v>3000</v>
      </c>
      <c r="K19" s="23">
        <v>3000</v>
      </c>
      <c r="L19" s="23">
        <v>3000</v>
      </c>
      <c r="M19" s="23">
        <v>3000</v>
      </c>
      <c r="N19" s="23">
        <v>3000</v>
      </c>
      <c r="O19" s="23">
        <v>3000</v>
      </c>
      <c r="P19" s="28"/>
      <c r="Q19" s="29"/>
      <c r="R19" s="28"/>
      <c r="S19" s="28"/>
      <c r="T19" s="28"/>
      <c r="U19" s="28"/>
    </row>
    <row r="20" spans="1:251" s="24" customFormat="1" ht="12" x14ac:dyDescent="0.2">
      <c r="A20" s="32"/>
      <c r="B20" s="21" t="s">
        <v>30</v>
      </c>
      <c r="C20" s="22">
        <f t="shared" si="0"/>
        <v>2700</v>
      </c>
      <c r="D20" s="23">
        <v>150</v>
      </c>
      <c r="E20" s="23">
        <v>150</v>
      </c>
      <c r="F20" s="23">
        <v>150</v>
      </c>
      <c r="G20" s="23">
        <v>250</v>
      </c>
      <c r="H20" s="23">
        <v>250</v>
      </c>
      <c r="I20" s="23">
        <v>250</v>
      </c>
      <c r="J20" s="23">
        <v>250</v>
      </c>
      <c r="K20" s="23">
        <v>250</v>
      </c>
      <c r="L20" s="23">
        <v>250</v>
      </c>
      <c r="M20" s="23">
        <v>250</v>
      </c>
      <c r="N20" s="23">
        <v>250</v>
      </c>
      <c r="O20" s="23">
        <v>250</v>
      </c>
      <c r="P20" s="28"/>
      <c r="Q20" s="29"/>
      <c r="R20" s="28"/>
      <c r="S20" s="28"/>
      <c r="T20" s="28"/>
      <c r="U20" s="28"/>
    </row>
    <row r="21" spans="1:251" x14ac:dyDescent="0.2">
      <c r="A21" s="33"/>
      <c r="B21" s="34" t="s">
        <v>31</v>
      </c>
      <c r="C21" s="35">
        <f>SUM(C7:C20)</f>
        <v>4145260</v>
      </c>
      <c r="D21" s="36">
        <v>225769</v>
      </c>
      <c r="E21" s="36">
        <v>346785</v>
      </c>
      <c r="F21" s="36">
        <v>306905</v>
      </c>
      <c r="G21" s="36">
        <v>335405</v>
      </c>
      <c r="H21" s="36">
        <v>313705</v>
      </c>
      <c r="I21" s="36">
        <v>338625</v>
      </c>
      <c r="J21" s="36">
        <v>376035</v>
      </c>
      <c r="K21" s="36">
        <v>338605</v>
      </c>
      <c r="L21" s="36">
        <v>303305</v>
      </c>
      <c r="M21" s="36">
        <v>307305</v>
      </c>
      <c r="N21" s="36">
        <v>340505</v>
      </c>
      <c r="O21" s="36">
        <v>281505</v>
      </c>
      <c r="P21" s="28"/>
      <c r="Q21" s="29"/>
      <c r="R21" s="28"/>
      <c r="S21" s="28"/>
      <c r="T21" s="28"/>
      <c r="U21" s="28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</row>
    <row r="22" spans="1:251" x14ac:dyDescent="0.2">
      <c r="A22" s="20"/>
      <c r="B22" s="37"/>
      <c r="C22" s="25"/>
      <c r="D22" s="23"/>
      <c r="E22" s="23"/>
      <c r="F22" s="23"/>
      <c r="G22" s="27"/>
      <c r="H22" s="23"/>
      <c r="I22" s="23"/>
      <c r="J22" s="27"/>
      <c r="K22" s="27"/>
      <c r="L22" s="27"/>
      <c r="M22" s="27"/>
      <c r="N22" s="27"/>
      <c r="O22" s="27"/>
      <c r="P22" s="28"/>
      <c r="Q22" s="29"/>
      <c r="R22" s="28"/>
      <c r="S22" s="28"/>
      <c r="T22" s="28"/>
      <c r="U22" s="28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</row>
    <row r="23" spans="1:251" x14ac:dyDescent="0.2">
      <c r="A23" s="20"/>
      <c r="B23" s="37" t="s">
        <v>32</v>
      </c>
      <c r="C23" s="38">
        <v>18428470.079999998</v>
      </c>
      <c r="D23" s="25">
        <f>$C$23/12</f>
        <v>1535705.8399999999</v>
      </c>
      <c r="E23" s="25">
        <f t="shared" ref="E23:O23" si="1">$C$23/12</f>
        <v>1535705.8399999999</v>
      </c>
      <c r="F23" s="25">
        <f t="shared" si="1"/>
        <v>1535705.8399999999</v>
      </c>
      <c r="G23" s="25">
        <f t="shared" si="1"/>
        <v>1535705.8399999999</v>
      </c>
      <c r="H23" s="25">
        <f t="shared" si="1"/>
        <v>1535705.8399999999</v>
      </c>
      <c r="I23" s="25">
        <f t="shared" si="1"/>
        <v>1535705.8399999999</v>
      </c>
      <c r="J23" s="25">
        <f t="shared" si="1"/>
        <v>1535705.8399999999</v>
      </c>
      <c r="K23" s="25">
        <f t="shared" si="1"/>
        <v>1535705.8399999999</v>
      </c>
      <c r="L23" s="25">
        <f t="shared" si="1"/>
        <v>1535705.8399999999</v>
      </c>
      <c r="M23" s="25">
        <f t="shared" si="1"/>
        <v>1535705.8399999999</v>
      </c>
      <c r="N23" s="25">
        <f t="shared" si="1"/>
        <v>1535705.8399999999</v>
      </c>
      <c r="O23" s="25">
        <f t="shared" si="1"/>
        <v>1535705.8399999999</v>
      </c>
      <c r="P23" s="39"/>
      <c r="Q23" s="29"/>
      <c r="R23" s="28"/>
      <c r="S23" s="28"/>
      <c r="T23" s="28"/>
      <c r="U23" s="28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</row>
    <row r="24" spans="1:251" x14ac:dyDescent="0.2">
      <c r="A24" s="33"/>
      <c r="B24" s="34" t="s">
        <v>33</v>
      </c>
      <c r="C24" s="35">
        <f>SUM(C23)</f>
        <v>18428470.079999998</v>
      </c>
      <c r="D24" s="35">
        <f t="shared" ref="D24:N24" si="2">SUM(D23)</f>
        <v>1535705.8399999999</v>
      </c>
      <c r="E24" s="35">
        <f t="shared" si="2"/>
        <v>1535705.8399999999</v>
      </c>
      <c r="F24" s="35">
        <f t="shared" si="2"/>
        <v>1535705.8399999999</v>
      </c>
      <c r="G24" s="35">
        <f t="shared" si="2"/>
        <v>1535705.8399999999</v>
      </c>
      <c r="H24" s="35">
        <f t="shared" si="2"/>
        <v>1535705.8399999999</v>
      </c>
      <c r="I24" s="35">
        <f t="shared" si="2"/>
        <v>1535705.8399999999</v>
      </c>
      <c r="J24" s="35">
        <f t="shared" si="2"/>
        <v>1535705.8399999999</v>
      </c>
      <c r="K24" s="35">
        <f t="shared" si="2"/>
        <v>1535705.8399999999</v>
      </c>
      <c r="L24" s="35">
        <f t="shared" si="2"/>
        <v>1535705.8399999999</v>
      </c>
      <c r="M24" s="35">
        <f t="shared" si="2"/>
        <v>1535705.8399999999</v>
      </c>
      <c r="N24" s="35">
        <f t="shared" si="2"/>
        <v>1535705.8399999999</v>
      </c>
      <c r="O24" s="35">
        <f>SUM(O23)</f>
        <v>1535705.8399999999</v>
      </c>
      <c r="P24" s="39"/>
      <c r="Q24" s="29"/>
      <c r="R24" s="40"/>
      <c r="S24" s="40"/>
      <c r="T24" s="40"/>
      <c r="U24" s="40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</row>
    <row r="25" spans="1:251" x14ac:dyDescent="0.2">
      <c r="A25" s="42"/>
      <c r="B25" s="43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44"/>
      <c r="P25" s="28"/>
      <c r="Q25" s="29"/>
      <c r="R25" s="28"/>
      <c r="S25" s="28"/>
      <c r="T25" s="28"/>
      <c r="U25" s="28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</row>
    <row r="26" spans="1:251" x14ac:dyDescent="0.2">
      <c r="A26" s="45"/>
      <c r="B26" s="46" t="s">
        <v>34</v>
      </c>
      <c r="C26" s="47">
        <f>C21+C24</f>
        <v>22573730.079999998</v>
      </c>
      <c r="D26" s="47">
        <v>1511474.84</v>
      </c>
      <c r="E26" s="47">
        <v>1632490.84</v>
      </c>
      <c r="F26" s="47">
        <v>1592610.84</v>
      </c>
      <c r="G26" s="47">
        <v>1621110.84</v>
      </c>
      <c r="H26" s="47">
        <v>1599410.84</v>
      </c>
      <c r="I26" s="47">
        <v>1624330.84</v>
      </c>
      <c r="J26" s="47">
        <v>1661740.84</v>
      </c>
      <c r="K26" s="47">
        <v>1624310.84</v>
      </c>
      <c r="L26" s="47">
        <v>1589010.84</v>
      </c>
      <c r="M26" s="47">
        <v>1593010.84</v>
      </c>
      <c r="N26" s="47">
        <v>1626210.84</v>
      </c>
      <c r="O26" s="48">
        <v>1567210.84</v>
      </c>
      <c r="P26" s="49"/>
      <c r="Q26" s="29"/>
      <c r="R26" s="49"/>
      <c r="S26" s="49"/>
      <c r="T26" s="49"/>
      <c r="U26" s="49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</row>
    <row r="27" spans="1:251" x14ac:dyDescent="0.2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28"/>
      <c r="Q27" s="28"/>
      <c r="R27" s="28"/>
      <c r="S27" s="28"/>
      <c r="T27" s="28"/>
      <c r="U27" s="28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</row>
    <row r="28" spans="1:251" x14ac:dyDescent="0.2">
      <c r="A28" s="53"/>
      <c r="B28" s="24"/>
      <c r="C28" s="54"/>
      <c r="D28" s="24"/>
      <c r="E28" s="24"/>
      <c r="F28" s="24"/>
      <c r="G28" s="24"/>
      <c r="H28" s="24"/>
      <c r="I28" s="31"/>
      <c r="J28" s="24"/>
      <c r="K28" s="24"/>
      <c r="L28" s="24"/>
      <c r="M28" s="24"/>
      <c r="N28" s="24"/>
      <c r="O28" s="24"/>
      <c r="P28" s="28"/>
      <c r="Q28" s="28"/>
      <c r="R28" s="28"/>
      <c r="S28" s="28"/>
      <c r="T28" s="28"/>
      <c r="U28" s="28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</row>
    <row r="29" spans="1:251" x14ac:dyDescent="0.2">
      <c r="A29" s="5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8"/>
      <c r="Q29" s="28"/>
      <c r="R29" s="28"/>
      <c r="S29" s="28"/>
      <c r="T29" s="28"/>
      <c r="U29" s="28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</row>
  </sheetData>
  <mergeCells count="4">
    <mergeCell ref="A5:A6"/>
    <mergeCell ref="B5:B6"/>
    <mergeCell ref="C5:C6"/>
    <mergeCell ref="D5:O5"/>
  </mergeCells>
  <pageMargins left="0.31" right="0.23622047244094491" top="0.74803149606299213" bottom="0.74803149606299213" header="0.31496062992125984" footer="0.31496062992125984"/>
  <pageSetup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2"/>
  <sheetViews>
    <sheetView workbookViewId="0"/>
  </sheetViews>
  <sheetFormatPr baseColWidth="10" defaultRowHeight="15" x14ac:dyDescent="0.25"/>
  <cols>
    <col min="1" max="1" width="7.7109375" style="55" customWidth="1"/>
    <col min="2" max="2" width="46.5703125" style="55" customWidth="1"/>
    <col min="3" max="3" width="10.28515625" style="55" hidden="1" customWidth="1"/>
    <col min="4" max="4" width="12.42578125" style="55" bestFit="1" customWidth="1"/>
    <col min="5" max="8" width="9.28515625" style="87" bestFit="1" customWidth="1"/>
    <col min="9" max="9" width="9" style="87" customWidth="1"/>
    <col min="10" max="12" width="9.28515625" style="87" bestFit="1" customWidth="1"/>
    <col min="13" max="13" width="10.5703125" style="87" bestFit="1" customWidth="1"/>
    <col min="14" max="14" width="9.28515625" style="87" bestFit="1" customWidth="1"/>
    <col min="15" max="15" width="9.85546875" style="87" bestFit="1" customWidth="1"/>
    <col min="16" max="16" width="9.42578125" style="87" bestFit="1" customWidth="1"/>
    <col min="17" max="17" width="13.140625" style="87" bestFit="1" customWidth="1"/>
    <col min="18" max="250" width="11.42578125" style="87"/>
  </cols>
  <sheetData>
    <row r="1" spans="1:250" ht="18" x14ac:dyDescent="0.25">
      <c r="A1" s="1"/>
      <c r="C1" s="1"/>
      <c r="D1" s="2"/>
      <c r="E1"/>
      <c r="F1"/>
      <c r="G1" s="116"/>
      <c r="H1" s="116"/>
      <c r="I1" s="13"/>
      <c r="J1"/>
      <c r="K1" s="2"/>
      <c r="L1" s="4"/>
      <c r="M1" s="4"/>
      <c r="N1" s="4"/>
      <c r="O1" s="5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</row>
    <row r="2" spans="1:250" ht="23.25" x14ac:dyDescent="0.35">
      <c r="A2" s="1"/>
      <c r="C2"/>
      <c r="D2" s="57" t="s">
        <v>35</v>
      </c>
      <c r="E2"/>
      <c r="F2"/>
      <c r="G2"/>
      <c r="H2"/>
      <c r="I2"/>
      <c r="J2" s="58"/>
      <c r="K2" s="59"/>
      <c r="L2" s="60"/>
      <c r="M2" s="60"/>
      <c r="N2" s="61"/>
      <c r="O2" s="56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</row>
    <row r="3" spans="1:250" ht="18.75" x14ac:dyDescent="0.3">
      <c r="A3" s="1"/>
      <c r="B3"/>
      <c r="C3"/>
      <c r="D3" s="62" t="s">
        <v>1</v>
      </c>
      <c r="E3"/>
      <c r="F3"/>
      <c r="G3"/>
      <c r="H3"/>
      <c r="I3"/>
      <c r="J3" s="58"/>
      <c r="K3" s="63"/>
      <c r="L3" s="61"/>
      <c r="M3" s="117"/>
      <c r="N3" s="117"/>
      <c r="O3" s="56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</row>
    <row r="4" spans="1:250" ht="18.75" x14ac:dyDescent="0.25">
      <c r="A4" s="6"/>
      <c r="B4" s="6"/>
      <c r="C4" s="64"/>
      <c r="D4" s="99" t="s">
        <v>110</v>
      </c>
      <c r="E4" s="8"/>
      <c r="F4" s="8"/>
      <c r="G4" s="65"/>
      <c r="H4" s="65"/>
      <c r="I4" s="65"/>
      <c r="J4" s="65"/>
      <c r="K4" s="65"/>
      <c r="L4" s="65"/>
      <c r="M4" s="65"/>
      <c r="N4" s="65"/>
      <c r="O4" s="56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</row>
    <row r="5" spans="1:250" ht="19.5" customHeight="1" x14ac:dyDescent="0.25">
      <c r="A5" s="9"/>
      <c r="B5" s="2"/>
      <c r="C5" s="66"/>
      <c r="D5" s="105" t="s">
        <v>111</v>
      </c>
      <c r="E5" s="99"/>
      <c r="F5" s="99"/>
      <c r="G5" s="99"/>
      <c r="H5" s="11"/>
      <c r="I5" s="88"/>
      <c r="J5" s="2"/>
      <c r="K5" s="11"/>
      <c r="L5" s="11"/>
      <c r="M5" s="11"/>
      <c r="N5" s="11"/>
      <c r="O5" s="11"/>
      <c r="P5" s="1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</row>
    <row r="6" spans="1:250" ht="13.5" customHeight="1" x14ac:dyDescent="0.25">
      <c r="A6" s="9"/>
      <c r="B6" s="2"/>
      <c r="C6" s="66"/>
      <c r="D6" s="100" t="s">
        <v>113</v>
      </c>
      <c r="E6" s="99"/>
      <c r="F6" s="99"/>
      <c r="G6" s="99"/>
      <c r="H6" s="11"/>
      <c r="I6" s="88"/>
      <c r="J6" s="2"/>
      <c r="K6" s="11"/>
      <c r="L6" s="11"/>
      <c r="M6" s="11"/>
      <c r="N6" s="11"/>
      <c r="O6" s="11"/>
      <c r="P6" s="1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</row>
    <row r="7" spans="1:250" ht="14.25" customHeight="1" x14ac:dyDescent="0.25">
      <c r="A7" s="9"/>
      <c r="B7" s="2"/>
      <c r="C7" s="66"/>
      <c r="D7" s="100" t="s">
        <v>115</v>
      </c>
      <c r="E7" s="99"/>
      <c r="F7" s="99"/>
      <c r="G7" s="99"/>
      <c r="H7" s="11"/>
      <c r="I7" s="88"/>
      <c r="J7" s="2"/>
      <c r="K7" s="11"/>
      <c r="L7" s="11"/>
      <c r="M7" s="11"/>
      <c r="N7" s="11"/>
      <c r="O7" s="11"/>
      <c r="P7" s="1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</row>
    <row r="8" spans="1:250" s="86" customFormat="1" ht="13.5" customHeight="1" x14ac:dyDescent="0.25">
      <c r="A8" s="101"/>
      <c r="B8" s="102"/>
      <c r="C8" s="102"/>
      <c r="D8" s="103" t="s">
        <v>114</v>
      </c>
      <c r="E8" s="104"/>
      <c r="F8" s="104"/>
      <c r="G8" s="104"/>
      <c r="H8" s="104"/>
      <c r="I8" s="104"/>
      <c r="J8" s="104"/>
      <c r="K8" s="84"/>
      <c r="L8" s="84"/>
      <c r="M8" s="84"/>
      <c r="N8" s="84"/>
      <c r="O8" s="84"/>
      <c r="P8" s="84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</row>
    <row r="9" spans="1:250" s="86" customFormat="1" ht="13.5" customHeight="1" x14ac:dyDescent="0.25">
      <c r="A9" s="101"/>
      <c r="B9" s="102"/>
      <c r="C9" s="102"/>
      <c r="D9" s="103" t="s">
        <v>116</v>
      </c>
      <c r="E9" s="104"/>
      <c r="F9" s="104"/>
      <c r="G9" s="104"/>
      <c r="H9" s="104"/>
      <c r="I9" s="104"/>
      <c r="J9" s="104"/>
      <c r="K9" s="84"/>
      <c r="L9" s="84"/>
      <c r="M9" s="84"/>
      <c r="N9" s="84"/>
      <c r="O9" s="84"/>
      <c r="P9" s="84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</row>
    <row r="10" spans="1:250" ht="15.75" x14ac:dyDescent="0.25">
      <c r="A10" s="67"/>
      <c r="B10" s="68"/>
      <c r="C10" s="68"/>
      <c r="D10" s="100"/>
      <c r="E10" s="69"/>
      <c r="F10" s="69"/>
      <c r="G10" s="69"/>
      <c r="H10" s="69"/>
      <c r="I10" s="69"/>
      <c r="J10" s="69"/>
      <c r="K10" s="70"/>
      <c r="L10" s="70"/>
      <c r="M10" s="70"/>
      <c r="N10" s="70"/>
      <c r="O10" s="70"/>
      <c r="P10" s="71"/>
    </row>
    <row r="11" spans="1:250" x14ac:dyDescent="0.25">
      <c r="A11" s="118" t="s">
        <v>36</v>
      </c>
      <c r="B11" s="120" t="s">
        <v>37</v>
      </c>
      <c r="C11" s="72" t="s">
        <v>38</v>
      </c>
      <c r="D11" s="89" t="s">
        <v>109</v>
      </c>
      <c r="E11" s="122" t="s">
        <v>39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4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</row>
    <row r="12" spans="1:250" x14ac:dyDescent="0.25">
      <c r="A12" s="119"/>
      <c r="B12" s="121"/>
      <c r="C12" s="73" t="s">
        <v>40</v>
      </c>
      <c r="D12" s="73" t="s">
        <v>112</v>
      </c>
      <c r="E12" s="74" t="s">
        <v>5</v>
      </c>
      <c r="F12" s="74" t="s">
        <v>6</v>
      </c>
      <c r="G12" s="74" t="s">
        <v>7</v>
      </c>
      <c r="H12" s="74" t="s">
        <v>8</v>
      </c>
      <c r="I12" s="74" t="s">
        <v>9</v>
      </c>
      <c r="J12" s="74" t="s">
        <v>10</v>
      </c>
      <c r="K12" s="74" t="s">
        <v>11</v>
      </c>
      <c r="L12" s="74" t="s">
        <v>12</v>
      </c>
      <c r="M12" s="74" t="s">
        <v>13</v>
      </c>
      <c r="N12" s="74" t="s">
        <v>14</v>
      </c>
      <c r="O12" s="74" t="s">
        <v>15</v>
      </c>
      <c r="P12" s="91" t="s">
        <v>16</v>
      </c>
      <c r="Q12" s="92"/>
    </row>
    <row r="13" spans="1:250" x14ac:dyDescent="0.25">
      <c r="A13" s="75">
        <v>1131</v>
      </c>
      <c r="B13" s="76" t="s">
        <v>41</v>
      </c>
      <c r="C13" s="79">
        <v>12204090</v>
      </c>
      <c r="D13" s="77">
        <f>SUM(E13:P13)</f>
        <v>13032349.690000001</v>
      </c>
      <c r="E13" s="77">
        <v>1043264.79</v>
      </c>
      <c r="F13" s="77">
        <v>1050303.6299999999</v>
      </c>
      <c r="G13" s="77">
        <v>1050515.8</v>
      </c>
      <c r="H13" s="77">
        <v>1046663.8</v>
      </c>
      <c r="I13" s="77">
        <v>1047698.74</v>
      </c>
      <c r="J13" s="77">
        <v>1047697.75</v>
      </c>
      <c r="K13" s="77">
        <v>1347385.29</v>
      </c>
      <c r="L13" s="77">
        <v>1091336.2</v>
      </c>
      <c r="M13" s="77">
        <v>1081438.9099999999</v>
      </c>
      <c r="N13" s="77">
        <v>1078138.21</v>
      </c>
      <c r="O13" s="77">
        <v>1073953.3899999999</v>
      </c>
      <c r="P13" s="77">
        <v>1073953.18</v>
      </c>
      <c r="Q13" s="92"/>
    </row>
    <row r="14" spans="1:250" ht="24" x14ac:dyDescent="0.25">
      <c r="A14" s="75">
        <v>1311</v>
      </c>
      <c r="B14" s="76" t="s">
        <v>42</v>
      </c>
      <c r="C14" s="79">
        <v>285900</v>
      </c>
      <c r="D14" s="77">
        <f t="shared" ref="D14:D29" si="0">SUM(E14:P14)</f>
        <v>298660.99999999994</v>
      </c>
      <c r="E14" s="77">
        <v>23563.84</v>
      </c>
      <c r="F14" s="77">
        <v>25212.52</v>
      </c>
      <c r="G14" s="77">
        <v>25212.560000000001</v>
      </c>
      <c r="H14" s="77">
        <v>25212.560000000001</v>
      </c>
      <c r="I14" s="77">
        <v>25212.560000000001</v>
      </c>
      <c r="J14" s="77">
        <v>25212.560000000001</v>
      </c>
      <c r="K14" s="77">
        <v>24892.400000000001</v>
      </c>
      <c r="L14" s="77">
        <v>25212.560000000001</v>
      </c>
      <c r="M14" s="77">
        <v>24732.36</v>
      </c>
      <c r="N14" s="77">
        <v>24732.36</v>
      </c>
      <c r="O14" s="77">
        <v>24732.36</v>
      </c>
      <c r="P14" s="77">
        <v>24732.36</v>
      </c>
    </row>
    <row r="15" spans="1:250" x14ac:dyDescent="0.25">
      <c r="A15" s="75">
        <v>1321</v>
      </c>
      <c r="B15" s="76" t="s">
        <v>43</v>
      </c>
      <c r="C15" s="79">
        <v>285000</v>
      </c>
      <c r="D15" s="77">
        <f t="shared" si="0"/>
        <v>278928.75999999995</v>
      </c>
      <c r="E15" s="77">
        <f>14374.9+8898.51</f>
        <v>23273.41</v>
      </c>
      <c r="F15" s="77">
        <f>14374.9+9038.39</f>
        <v>23413.29</v>
      </c>
      <c r="G15" s="77">
        <f>14374.9+4123.13</f>
        <v>18498.03</v>
      </c>
      <c r="H15" s="77">
        <f>7741.12+14374.89</f>
        <v>22116.01</v>
      </c>
      <c r="I15" s="77">
        <f>14374.9+7858.96</f>
        <v>22233.86</v>
      </c>
      <c r="J15" s="77">
        <f>14374.9+8947.12</f>
        <v>23322.02</v>
      </c>
      <c r="K15" s="77">
        <f>18544.99+5901.63</f>
        <v>24446.620000000003</v>
      </c>
      <c r="L15" s="77">
        <f>7239.25+14977.96</f>
        <v>22217.21</v>
      </c>
      <c r="M15" s="77">
        <f>14977.96+6171.44</f>
        <v>21149.399999999998</v>
      </c>
      <c r="N15" s="77">
        <f>14863.2+12945.72</f>
        <v>27808.92</v>
      </c>
      <c r="O15" s="77">
        <f>14863.2+9320.68</f>
        <v>24183.88</v>
      </c>
      <c r="P15" s="77">
        <f>16231.93+10034.18</f>
        <v>26266.11</v>
      </c>
    </row>
    <row r="16" spans="1:250" x14ac:dyDescent="0.25">
      <c r="A16" s="75">
        <v>1322</v>
      </c>
      <c r="B16" s="76" t="s">
        <v>44</v>
      </c>
      <c r="C16" s="79">
        <v>1696347.69</v>
      </c>
      <c r="D16" s="77">
        <f t="shared" si="0"/>
        <v>1811836.82</v>
      </c>
      <c r="E16" s="77">
        <v>143748.85</v>
      </c>
      <c r="F16" s="77">
        <v>143748.85</v>
      </c>
      <c r="G16" s="77">
        <v>143748.85</v>
      </c>
      <c r="H16" s="77">
        <v>143749</v>
      </c>
      <c r="I16" s="77">
        <v>143748.85</v>
      </c>
      <c r="J16" s="77">
        <v>143748.85</v>
      </c>
      <c r="K16" s="77">
        <v>185449.78</v>
      </c>
      <c r="L16" s="77">
        <v>149779.56</v>
      </c>
      <c r="M16" s="77">
        <v>149779.56</v>
      </c>
      <c r="N16" s="77">
        <v>148631.93</v>
      </c>
      <c r="O16" s="77">
        <v>148631.93</v>
      </c>
      <c r="P16" s="77">
        <v>167070.81</v>
      </c>
      <c r="Q16" s="93"/>
    </row>
    <row r="17" spans="1:250" x14ac:dyDescent="0.25">
      <c r="A17" s="75">
        <v>1331</v>
      </c>
      <c r="B17" s="76" t="s">
        <v>45</v>
      </c>
      <c r="C17" s="79">
        <v>212500</v>
      </c>
      <c r="D17" s="77">
        <f t="shared" si="0"/>
        <v>53579.990000000005</v>
      </c>
      <c r="E17" s="77">
        <v>1922.13</v>
      </c>
      <c r="F17" s="77">
        <v>4773.43</v>
      </c>
      <c r="G17" s="77">
        <v>2383.0500000000002</v>
      </c>
      <c r="H17" s="77">
        <v>9621.86</v>
      </c>
      <c r="I17" s="77">
        <v>12378.59</v>
      </c>
      <c r="J17" s="77">
        <v>9086.18</v>
      </c>
      <c r="K17" s="77">
        <v>1149</v>
      </c>
      <c r="L17" s="77">
        <v>1731.51</v>
      </c>
      <c r="M17" s="77">
        <v>5597.18</v>
      </c>
      <c r="N17" s="77">
        <v>2579.06</v>
      </c>
      <c r="O17" s="77">
        <v>1768.5</v>
      </c>
      <c r="P17" s="77">
        <v>589.5</v>
      </c>
      <c r="Q17" s="93"/>
    </row>
    <row r="18" spans="1:250" x14ac:dyDescent="0.25">
      <c r="A18" s="75">
        <v>1411</v>
      </c>
      <c r="B18" s="76" t="s">
        <v>46</v>
      </c>
      <c r="C18" s="79">
        <v>896160</v>
      </c>
      <c r="D18" s="77">
        <f t="shared" si="0"/>
        <v>875671.6</v>
      </c>
      <c r="E18" s="77">
        <f>76194.97</f>
        <v>76194.97</v>
      </c>
      <c r="F18" s="77">
        <v>66114.289999999994</v>
      </c>
      <c r="G18" s="77">
        <v>73685.11</v>
      </c>
      <c r="H18" s="77">
        <v>71308.13</v>
      </c>
      <c r="I18" s="77">
        <v>73685.11</v>
      </c>
      <c r="J18" s="77">
        <v>71309.13</v>
      </c>
      <c r="K18" s="77">
        <v>74017.45</v>
      </c>
      <c r="L18" s="77">
        <v>75156.86</v>
      </c>
      <c r="M18" s="77">
        <v>72732.490000000005</v>
      </c>
      <c r="N18" s="77">
        <v>74864</v>
      </c>
      <c r="O18" s="77">
        <v>72095.179999999993</v>
      </c>
      <c r="P18" s="77">
        <v>74508.88</v>
      </c>
    </row>
    <row r="19" spans="1:250" x14ac:dyDescent="0.25">
      <c r="A19" s="75">
        <v>1421</v>
      </c>
      <c r="B19" s="76" t="s">
        <v>47</v>
      </c>
      <c r="C19" s="79">
        <v>366660</v>
      </c>
      <c r="D19" s="77">
        <f t="shared" si="0"/>
        <v>388139.68000000005</v>
      </c>
      <c r="E19" s="77">
        <f>31188.84</f>
        <v>31188.84</v>
      </c>
      <c r="F19" s="77">
        <v>31188.68</v>
      </c>
      <c r="G19" s="77">
        <v>31188.68</v>
      </c>
      <c r="H19" s="77">
        <v>31188.68</v>
      </c>
      <c r="I19" s="77">
        <v>31188.68</v>
      </c>
      <c r="J19" s="77">
        <v>31187.62</v>
      </c>
      <c r="K19" s="77">
        <v>40124.25</v>
      </c>
      <c r="L19" s="77">
        <v>32465.32</v>
      </c>
      <c r="M19" s="77">
        <v>32214.080000000002</v>
      </c>
      <c r="N19" s="77">
        <v>32088.47</v>
      </c>
      <c r="O19" s="77">
        <v>32025.66</v>
      </c>
      <c r="P19" s="77">
        <v>32090.720000000001</v>
      </c>
    </row>
    <row r="20" spans="1:250" x14ac:dyDescent="0.25">
      <c r="A20" s="75">
        <v>1431</v>
      </c>
      <c r="B20" s="76" t="s">
        <v>48</v>
      </c>
      <c r="C20" s="79">
        <v>1833000</v>
      </c>
      <c r="D20" s="77">
        <f t="shared" si="0"/>
        <v>2264154.9699999997</v>
      </c>
      <c r="E20" s="77">
        <v>181934.02</v>
      </c>
      <c r="F20" s="77">
        <v>181934.02</v>
      </c>
      <c r="G20" s="77">
        <v>181934.02</v>
      </c>
      <c r="H20" s="77">
        <v>181934.02</v>
      </c>
      <c r="I20" s="77">
        <v>181934.02</v>
      </c>
      <c r="J20" s="77">
        <v>181934.07999999999</v>
      </c>
      <c r="K20" s="77">
        <v>234058.32</v>
      </c>
      <c r="L20" s="77">
        <v>189381.18</v>
      </c>
      <c r="M20" s="77">
        <v>187915.46</v>
      </c>
      <c r="N20" s="77">
        <v>187182.95</v>
      </c>
      <c r="O20" s="77">
        <v>186816.85</v>
      </c>
      <c r="P20" s="77">
        <v>187196.03</v>
      </c>
    </row>
    <row r="21" spans="1:250" x14ac:dyDescent="0.25">
      <c r="A21" s="75">
        <v>1432</v>
      </c>
      <c r="B21" s="76" t="s">
        <v>49</v>
      </c>
      <c r="C21" s="79">
        <v>246600</v>
      </c>
      <c r="D21" s="77">
        <f t="shared" si="0"/>
        <v>258885.89</v>
      </c>
      <c r="E21" s="77">
        <v>20792.32</v>
      </c>
      <c r="F21" s="77">
        <v>20792.53</v>
      </c>
      <c r="G21" s="77">
        <v>20792.5</v>
      </c>
      <c r="H21" s="77">
        <v>20792.5</v>
      </c>
      <c r="I21" s="77">
        <v>20792.5</v>
      </c>
      <c r="J21" s="77">
        <v>20792.5</v>
      </c>
      <c r="K21" s="77">
        <v>26749.51</v>
      </c>
      <c r="L21" s="77">
        <v>21643.5</v>
      </c>
      <c r="M21" s="77">
        <v>21559.77</v>
      </c>
      <c r="N21" s="77">
        <v>21392.32</v>
      </c>
      <c r="O21" s="77">
        <v>21350.25</v>
      </c>
      <c r="P21" s="77">
        <v>21435.69</v>
      </c>
    </row>
    <row r="22" spans="1:250" x14ac:dyDescent="0.25">
      <c r="A22" s="75">
        <v>1441</v>
      </c>
      <c r="B22" s="76" t="s">
        <v>50</v>
      </c>
      <c r="C22" s="79">
        <v>157500</v>
      </c>
      <c r="D22" s="77">
        <f t="shared" si="0"/>
        <v>156968.24</v>
      </c>
      <c r="E22" s="77">
        <v>0</v>
      </c>
      <c r="F22" s="77">
        <v>0</v>
      </c>
      <c r="G22" s="77">
        <v>52322.74</v>
      </c>
      <c r="H22" s="77">
        <v>0</v>
      </c>
      <c r="I22" s="77">
        <v>0</v>
      </c>
      <c r="J22" s="77">
        <v>0</v>
      </c>
      <c r="K22" s="77">
        <v>52322.75</v>
      </c>
      <c r="L22" s="77">
        <v>0</v>
      </c>
      <c r="M22" s="77">
        <v>0</v>
      </c>
      <c r="N22" s="77">
        <v>0</v>
      </c>
      <c r="O22" s="77">
        <v>52322.75</v>
      </c>
      <c r="P22" s="77">
        <v>0</v>
      </c>
    </row>
    <row r="23" spans="1:250" x14ac:dyDescent="0.25">
      <c r="A23" s="75">
        <v>1521</v>
      </c>
      <c r="B23" s="76" t="s">
        <v>51</v>
      </c>
      <c r="C23" s="79">
        <v>178500</v>
      </c>
      <c r="D23" s="77">
        <f t="shared" si="0"/>
        <v>82601.279999999999</v>
      </c>
      <c r="E23" s="77">
        <v>0</v>
      </c>
      <c r="F23" s="77">
        <v>34577.279999999999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48024</v>
      </c>
      <c r="M23" s="77">
        <v>0</v>
      </c>
      <c r="N23" s="77">
        <v>0</v>
      </c>
      <c r="O23" s="77">
        <v>0</v>
      </c>
      <c r="P23" s="77">
        <v>0</v>
      </c>
    </row>
    <row r="24" spans="1:250" x14ac:dyDescent="0.25">
      <c r="A24" s="75">
        <v>1531</v>
      </c>
      <c r="B24" s="78" t="s">
        <v>52</v>
      </c>
      <c r="C24" s="79">
        <v>95000</v>
      </c>
      <c r="D24" s="77">
        <f t="shared" si="0"/>
        <v>48888</v>
      </c>
      <c r="E24" s="77">
        <v>0</v>
      </c>
      <c r="F24" s="77">
        <v>23769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25119</v>
      </c>
      <c r="M24" s="77">
        <v>0</v>
      </c>
      <c r="N24" s="77">
        <v>0</v>
      </c>
      <c r="O24" s="77">
        <v>0</v>
      </c>
      <c r="P24" s="77">
        <v>0</v>
      </c>
    </row>
    <row r="25" spans="1:250" x14ac:dyDescent="0.25">
      <c r="A25" s="75">
        <v>1543</v>
      </c>
      <c r="B25" s="76" t="s">
        <v>53</v>
      </c>
      <c r="C25" s="79">
        <v>54000</v>
      </c>
      <c r="D25" s="77">
        <f t="shared" si="0"/>
        <v>46936.57</v>
      </c>
      <c r="E25" s="77">
        <v>7879.43</v>
      </c>
      <c r="F25" s="77">
        <v>0</v>
      </c>
      <c r="G25" s="77">
        <v>7603.6</v>
      </c>
      <c r="H25" s="77">
        <v>0</v>
      </c>
      <c r="I25" s="77">
        <v>9004.5300000000007</v>
      </c>
      <c r="J25" s="77">
        <v>0</v>
      </c>
      <c r="K25" s="77">
        <v>7911.45</v>
      </c>
      <c r="L25" s="77">
        <v>0</v>
      </c>
      <c r="M25" s="77">
        <v>6849.36</v>
      </c>
      <c r="N25" s="77">
        <v>0</v>
      </c>
      <c r="O25" s="77">
        <v>7688.2</v>
      </c>
      <c r="P25" s="77">
        <v>0</v>
      </c>
    </row>
    <row r="26" spans="1:250" x14ac:dyDescent="0.25">
      <c r="A26" s="75">
        <v>1612</v>
      </c>
      <c r="B26" s="76" t="s">
        <v>54</v>
      </c>
      <c r="C26" s="79">
        <v>390000</v>
      </c>
      <c r="D26" s="77">
        <f t="shared" si="0"/>
        <v>377475.82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377475.82</v>
      </c>
    </row>
    <row r="27" spans="1:250" x14ac:dyDescent="0.25">
      <c r="A27" s="75">
        <v>1712</v>
      </c>
      <c r="B27" s="76" t="s">
        <v>55</v>
      </c>
      <c r="C27" s="79">
        <v>789720</v>
      </c>
      <c r="D27" s="77">
        <f t="shared" si="0"/>
        <v>698456.14</v>
      </c>
      <c r="E27" s="77">
        <v>57614.35</v>
      </c>
      <c r="F27" s="77">
        <v>57865.3</v>
      </c>
      <c r="G27" s="77">
        <v>57865</v>
      </c>
      <c r="H27" s="77">
        <v>57865</v>
      </c>
      <c r="I27" s="77">
        <v>64765</v>
      </c>
      <c r="J27" s="77">
        <v>58165</v>
      </c>
      <c r="K27" s="77">
        <v>57865</v>
      </c>
      <c r="L27" s="77">
        <v>57864.93</v>
      </c>
      <c r="M27" s="77">
        <v>57386.14</v>
      </c>
      <c r="N27" s="77">
        <v>57386.14</v>
      </c>
      <c r="O27" s="77">
        <v>56907.28</v>
      </c>
      <c r="P27" s="77">
        <v>56907</v>
      </c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</row>
    <row r="28" spans="1:250" x14ac:dyDescent="0.25">
      <c r="A28" s="75">
        <v>1713</v>
      </c>
      <c r="B28" s="76" t="s">
        <v>56</v>
      </c>
      <c r="C28" s="79">
        <v>413100</v>
      </c>
      <c r="D28" s="77">
        <f t="shared" si="0"/>
        <v>469037.98</v>
      </c>
      <c r="E28" s="77">
        <v>38339.51</v>
      </c>
      <c r="F28" s="77">
        <v>39298.620000000003</v>
      </c>
      <c r="G28" s="77">
        <v>39298.42</v>
      </c>
      <c r="H28" s="77">
        <v>39298.42</v>
      </c>
      <c r="I28" s="77">
        <v>39298.42</v>
      </c>
      <c r="J28" s="77">
        <v>39297.42</v>
      </c>
      <c r="K28" s="77">
        <v>39617.58</v>
      </c>
      <c r="L28" s="77">
        <v>39298.35</v>
      </c>
      <c r="M28" s="77">
        <v>38981.300000000003</v>
      </c>
      <c r="N28" s="77">
        <v>38981.300000000003</v>
      </c>
      <c r="O28" s="77">
        <v>38664.32</v>
      </c>
      <c r="P28" s="77">
        <v>38664.32</v>
      </c>
    </row>
    <row r="29" spans="1:250" x14ac:dyDescent="0.25">
      <c r="A29" s="75">
        <v>1715</v>
      </c>
      <c r="B29" s="76" t="s">
        <v>57</v>
      </c>
      <c r="C29" s="79">
        <v>495000</v>
      </c>
      <c r="D29" s="77">
        <f t="shared" si="0"/>
        <v>509553.62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509553.62</v>
      </c>
      <c r="O29" s="77">
        <v>0</v>
      </c>
      <c r="P29" s="77">
        <v>0</v>
      </c>
    </row>
    <row r="30" spans="1:250" x14ac:dyDescent="0.25">
      <c r="A30" s="80"/>
      <c r="B30" s="80" t="s">
        <v>58</v>
      </c>
      <c r="C30" s="80">
        <f>SUM(C13:C29)</f>
        <v>20599077.689999998</v>
      </c>
      <c r="D30" s="80">
        <f t="shared" ref="D30" si="1">SUM(D13:D29)</f>
        <v>21652126.050000004</v>
      </c>
      <c r="E30" s="80">
        <f t="shared" ref="E30:P30" si="2">SUM(E13:E29)</f>
        <v>1649716.4600000002</v>
      </c>
      <c r="F30" s="80">
        <f t="shared" si="2"/>
        <v>1702991.4400000002</v>
      </c>
      <c r="G30" s="80">
        <f t="shared" si="2"/>
        <v>1705048.3600000003</v>
      </c>
      <c r="H30" s="80">
        <f t="shared" si="2"/>
        <v>1649749.9800000002</v>
      </c>
      <c r="I30" s="80">
        <f t="shared" si="2"/>
        <v>1671940.8600000003</v>
      </c>
      <c r="J30" s="80">
        <f t="shared" si="2"/>
        <v>1651753.1100000003</v>
      </c>
      <c r="K30" s="80">
        <f t="shared" si="2"/>
        <v>2115989.4</v>
      </c>
      <c r="L30" s="80">
        <f t="shared" si="2"/>
        <v>1779230.1800000002</v>
      </c>
      <c r="M30" s="80">
        <f t="shared" si="2"/>
        <v>1700336.01</v>
      </c>
      <c r="N30" s="80">
        <f t="shared" si="2"/>
        <v>2203339.2799999998</v>
      </c>
      <c r="O30" s="80">
        <f t="shared" si="2"/>
        <v>1741140.5499999998</v>
      </c>
      <c r="P30" s="80">
        <f t="shared" si="2"/>
        <v>2080890.4200000004</v>
      </c>
    </row>
    <row r="31" spans="1:250" x14ac:dyDescent="0.25">
      <c r="A31" s="75">
        <v>2111</v>
      </c>
      <c r="B31" s="76" t="s">
        <v>59</v>
      </c>
      <c r="C31" s="79">
        <v>19000</v>
      </c>
      <c r="D31" s="77">
        <f>SUM(E31:P31)</f>
        <v>16566.86</v>
      </c>
      <c r="E31" s="77">
        <v>298.10000000000002</v>
      </c>
      <c r="F31" s="77">
        <v>1361.92</v>
      </c>
      <c r="G31" s="77">
        <v>1502.36</v>
      </c>
      <c r="H31" s="77">
        <v>1086</v>
      </c>
      <c r="I31" s="77">
        <v>1226.08</v>
      </c>
      <c r="J31" s="77">
        <v>6481.89</v>
      </c>
      <c r="K31" s="77">
        <v>318.39999999999998</v>
      </c>
      <c r="L31" s="77">
        <v>488.92</v>
      </c>
      <c r="M31" s="77">
        <v>927.44</v>
      </c>
      <c r="N31" s="77">
        <v>1161.57</v>
      </c>
      <c r="O31" s="77">
        <v>431.77</v>
      </c>
      <c r="P31" s="77">
        <v>1282.4100000000001</v>
      </c>
    </row>
    <row r="32" spans="1:250" x14ac:dyDescent="0.25">
      <c r="A32" s="75">
        <v>2121</v>
      </c>
      <c r="B32" s="76" t="s">
        <v>60</v>
      </c>
      <c r="C32" s="79">
        <v>4500</v>
      </c>
      <c r="D32" s="77">
        <f t="shared" ref="D32:D78" si="3">SUM(E32:P32)</f>
        <v>630</v>
      </c>
      <c r="E32" s="77">
        <v>0</v>
      </c>
      <c r="F32" s="77">
        <v>630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</row>
    <row r="33" spans="1:250" ht="24" x14ac:dyDescent="0.25">
      <c r="A33" s="75">
        <v>2141</v>
      </c>
      <c r="B33" s="76" t="s">
        <v>61</v>
      </c>
      <c r="C33" s="79">
        <v>12000</v>
      </c>
      <c r="D33" s="77">
        <f t="shared" si="3"/>
        <v>4938.96</v>
      </c>
      <c r="E33" s="77">
        <v>0</v>
      </c>
      <c r="F33" s="77">
        <v>3618.1</v>
      </c>
      <c r="G33" s="77">
        <v>95</v>
      </c>
      <c r="H33" s="77">
        <v>0</v>
      </c>
      <c r="I33" s="77">
        <v>450</v>
      </c>
      <c r="J33" s="77">
        <v>775.86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</row>
    <row r="34" spans="1:250" x14ac:dyDescent="0.25">
      <c r="A34" s="75">
        <v>2161</v>
      </c>
      <c r="B34" s="76" t="s">
        <v>62</v>
      </c>
      <c r="C34" s="79">
        <v>25000</v>
      </c>
      <c r="D34" s="77">
        <f t="shared" si="3"/>
        <v>16499.150000000001</v>
      </c>
      <c r="E34" s="77">
        <v>1424.91</v>
      </c>
      <c r="F34" s="77">
        <v>2066.61</v>
      </c>
      <c r="G34" s="77">
        <v>1272.8399999999999</v>
      </c>
      <c r="H34" s="77">
        <v>1290.97</v>
      </c>
      <c r="I34" s="77">
        <v>1972.43</v>
      </c>
      <c r="J34" s="77">
        <v>1232.76</v>
      </c>
      <c r="K34" s="77">
        <v>1984.65</v>
      </c>
      <c r="L34" s="77">
        <v>1355.22</v>
      </c>
      <c r="M34" s="77">
        <v>1259.3800000000001</v>
      </c>
      <c r="N34" s="77">
        <v>870.32</v>
      </c>
      <c r="O34" s="77">
        <v>1059.8599999999999</v>
      </c>
      <c r="P34" s="77">
        <v>709.2</v>
      </c>
    </row>
    <row r="35" spans="1:250" ht="24" x14ac:dyDescent="0.25">
      <c r="A35" s="75">
        <v>2214</v>
      </c>
      <c r="B35" s="76" t="s">
        <v>63</v>
      </c>
      <c r="C35" s="79">
        <v>35000</v>
      </c>
      <c r="D35" s="77">
        <f t="shared" si="3"/>
        <v>23672.850000000002</v>
      </c>
      <c r="E35" s="77">
        <v>621.69000000000005</v>
      </c>
      <c r="F35" s="77">
        <v>2210.0300000000002</v>
      </c>
      <c r="G35" s="77">
        <v>1361</v>
      </c>
      <c r="H35" s="77">
        <v>2206.08</v>
      </c>
      <c r="I35" s="77">
        <v>8949.08</v>
      </c>
      <c r="J35" s="77">
        <v>1251.77</v>
      </c>
      <c r="K35" s="77">
        <v>658.8</v>
      </c>
      <c r="L35" s="77">
        <v>1971.5</v>
      </c>
      <c r="M35" s="77">
        <v>395.5</v>
      </c>
      <c r="N35" s="77">
        <v>2211</v>
      </c>
      <c r="O35" s="77">
        <v>1008</v>
      </c>
      <c r="P35" s="77">
        <v>828.4</v>
      </c>
    </row>
    <row r="36" spans="1:250" x14ac:dyDescent="0.25">
      <c r="A36" s="75">
        <v>2221</v>
      </c>
      <c r="B36" s="76" t="s">
        <v>64</v>
      </c>
      <c r="C36" s="79">
        <v>66000</v>
      </c>
      <c r="D36" s="77">
        <f t="shared" si="3"/>
        <v>23109.35</v>
      </c>
      <c r="E36" s="77">
        <v>0</v>
      </c>
      <c r="F36" s="77">
        <v>0</v>
      </c>
      <c r="G36" s="77">
        <v>0</v>
      </c>
      <c r="H36" s="77">
        <v>9960.9</v>
      </c>
      <c r="I36" s="77">
        <v>4649.2</v>
      </c>
      <c r="J36" s="77">
        <v>8499.25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</row>
    <row r="37" spans="1:250" x14ac:dyDescent="0.25">
      <c r="A37" s="75">
        <v>2231</v>
      </c>
      <c r="B37" s="76" t="s">
        <v>65</v>
      </c>
      <c r="C37" s="79">
        <v>500</v>
      </c>
      <c r="D37" s="77">
        <f t="shared" si="3"/>
        <v>150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150</v>
      </c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</row>
    <row r="38" spans="1:250" x14ac:dyDescent="0.25">
      <c r="A38" s="75">
        <v>2411</v>
      </c>
      <c r="B38" s="76" t="s">
        <v>66</v>
      </c>
      <c r="C38" s="79">
        <v>2000</v>
      </c>
      <c r="D38" s="77">
        <f t="shared" si="3"/>
        <v>60</v>
      </c>
      <c r="E38" s="77">
        <v>0</v>
      </c>
      <c r="F38" s="77">
        <v>0</v>
      </c>
      <c r="G38" s="77">
        <v>0</v>
      </c>
      <c r="H38" s="77">
        <v>60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</row>
    <row r="39" spans="1:250" x14ac:dyDescent="0.25">
      <c r="A39" s="75">
        <v>2421</v>
      </c>
      <c r="B39" s="76" t="s">
        <v>67</v>
      </c>
      <c r="C39" s="79">
        <v>10000</v>
      </c>
      <c r="D39" s="77">
        <f t="shared" si="3"/>
        <v>4379.9799999999996</v>
      </c>
      <c r="E39" s="77">
        <v>842.84</v>
      </c>
      <c r="F39" s="77">
        <v>337.14</v>
      </c>
      <c r="G39" s="77">
        <v>1440</v>
      </c>
      <c r="H39" s="77">
        <v>1440</v>
      </c>
      <c r="I39" s="77">
        <v>0</v>
      </c>
      <c r="J39" s="77"/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320</v>
      </c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</row>
    <row r="40" spans="1:250" x14ac:dyDescent="0.25">
      <c r="A40" s="75">
        <v>2431</v>
      </c>
      <c r="B40" s="76" t="s">
        <v>68</v>
      </c>
      <c r="C40" s="79">
        <v>4000</v>
      </c>
      <c r="D40" s="77">
        <f t="shared" si="3"/>
        <v>3569.79</v>
      </c>
      <c r="E40" s="77">
        <v>0</v>
      </c>
      <c r="F40" s="77">
        <v>55</v>
      </c>
      <c r="G40" s="77">
        <v>110</v>
      </c>
      <c r="H40" s="77">
        <v>1166.24</v>
      </c>
      <c r="I40" s="77">
        <v>160</v>
      </c>
      <c r="J40" s="77">
        <v>1078</v>
      </c>
      <c r="K40" s="77">
        <v>380.8</v>
      </c>
      <c r="L40" s="77">
        <v>378.68</v>
      </c>
      <c r="M40" s="77">
        <v>189.34</v>
      </c>
      <c r="N40" s="77">
        <v>0</v>
      </c>
      <c r="O40" s="77">
        <v>51.73</v>
      </c>
      <c r="P40" s="77">
        <v>0</v>
      </c>
    </row>
    <row r="41" spans="1:250" x14ac:dyDescent="0.25">
      <c r="A41" s="75">
        <v>2451</v>
      </c>
      <c r="B41" s="76" t="s">
        <v>69</v>
      </c>
      <c r="C41" s="79">
        <v>4000</v>
      </c>
      <c r="D41" s="77">
        <f t="shared" si="3"/>
        <v>4.92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4.92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</row>
    <row r="42" spans="1:250" x14ac:dyDescent="0.25">
      <c r="A42" s="75">
        <v>2461</v>
      </c>
      <c r="B42" s="76" t="s">
        <v>70</v>
      </c>
      <c r="C42" s="79">
        <v>21500</v>
      </c>
      <c r="D42" s="77">
        <f t="shared" si="3"/>
        <v>5714.03</v>
      </c>
      <c r="E42" s="77">
        <v>1488.6</v>
      </c>
      <c r="F42" s="77">
        <v>439.3</v>
      </c>
      <c r="G42" s="77">
        <v>658.67</v>
      </c>
      <c r="H42" s="77">
        <v>486.2</v>
      </c>
      <c r="I42" s="77">
        <v>408.8</v>
      </c>
      <c r="J42" s="77">
        <v>362.61</v>
      </c>
      <c r="K42" s="77">
        <v>409.62</v>
      </c>
      <c r="L42" s="77">
        <v>694.95</v>
      </c>
      <c r="M42" s="77">
        <v>212.75</v>
      </c>
      <c r="N42" s="77">
        <v>472.62</v>
      </c>
      <c r="O42" s="77">
        <v>0</v>
      </c>
      <c r="P42" s="77">
        <v>79.91</v>
      </c>
    </row>
    <row r="43" spans="1:250" x14ac:dyDescent="0.25">
      <c r="A43" s="75">
        <v>2471</v>
      </c>
      <c r="B43" s="76" t="s">
        <v>71</v>
      </c>
      <c r="C43" s="79">
        <v>8000</v>
      </c>
      <c r="D43" s="77">
        <f t="shared" si="3"/>
        <v>1947.0700000000002</v>
      </c>
      <c r="E43" s="77">
        <v>0</v>
      </c>
      <c r="F43" s="77">
        <v>0</v>
      </c>
      <c r="G43" s="77">
        <v>0</v>
      </c>
      <c r="H43" s="77">
        <v>188.33</v>
      </c>
      <c r="I43" s="77">
        <v>369.17</v>
      </c>
      <c r="J43" s="77">
        <v>288.86</v>
      </c>
      <c r="K43" s="77">
        <v>80.8</v>
      </c>
      <c r="L43" s="77">
        <v>156.91</v>
      </c>
      <c r="M43" s="77">
        <v>128.18</v>
      </c>
      <c r="N43" s="77">
        <v>80.8</v>
      </c>
      <c r="O43" s="77">
        <f>71.07+66.84</f>
        <v>137.91</v>
      </c>
      <c r="P43" s="77">
        <v>516.11</v>
      </c>
    </row>
    <row r="44" spans="1:250" x14ac:dyDescent="0.25">
      <c r="A44" s="75">
        <v>2481</v>
      </c>
      <c r="B44" s="76" t="s">
        <v>72</v>
      </c>
      <c r="C44" s="79">
        <v>8000</v>
      </c>
      <c r="D44" s="77">
        <f t="shared" si="3"/>
        <v>4710.3899999999994</v>
      </c>
      <c r="E44" s="77">
        <v>969.65</v>
      </c>
      <c r="F44" s="77">
        <v>180.15</v>
      </c>
      <c r="G44" s="77">
        <v>602.26</v>
      </c>
      <c r="H44" s="77">
        <v>583.48</v>
      </c>
      <c r="I44" s="77">
        <v>345.84</v>
      </c>
      <c r="J44" s="77">
        <v>471.2</v>
      </c>
      <c r="K44" s="77">
        <v>85.76</v>
      </c>
      <c r="L44" s="77">
        <v>757.7</v>
      </c>
      <c r="M44" s="77">
        <v>31.55</v>
      </c>
      <c r="N44" s="77">
        <v>298.58</v>
      </c>
      <c r="O44" s="77">
        <v>72.239999999999995</v>
      </c>
      <c r="P44" s="77">
        <f>2.5+309.48</f>
        <v>311.98</v>
      </c>
    </row>
    <row r="45" spans="1:250" x14ac:dyDescent="0.25">
      <c r="A45" s="75">
        <v>2491</v>
      </c>
      <c r="B45" s="76" t="s">
        <v>73</v>
      </c>
      <c r="C45" s="79">
        <v>54000</v>
      </c>
      <c r="D45" s="77">
        <f t="shared" si="3"/>
        <v>29304.13</v>
      </c>
      <c r="E45" s="77">
        <v>6482.06</v>
      </c>
      <c r="F45" s="77">
        <v>1487.03</v>
      </c>
      <c r="G45" s="77">
        <v>2072.44</v>
      </c>
      <c r="H45" s="77">
        <v>2198.35</v>
      </c>
      <c r="I45" s="77">
        <v>1339.96</v>
      </c>
      <c r="J45" s="77">
        <v>2387.3200000000002</v>
      </c>
      <c r="K45" s="77">
        <v>3287.45</v>
      </c>
      <c r="L45" s="77">
        <f>1910.46+577.6</f>
        <v>2488.06</v>
      </c>
      <c r="M45" s="77">
        <v>0</v>
      </c>
      <c r="N45" s="77">
        <v>3201.82</v>
      </c>
      <c r="O45" s="77">
        <f>2268.24+137.27</f>
        <v>2405.5099999999998</v>
      </c>
      <c r="P45" s="77">
        <f>1657.06+297.07</f>
        <v>1954.1299999999999</v>
      </c>
    </row>
    <row r="46" spans="1:250" x14ac:dyDescent="0.25">
      <c r="A46" s="75">
        <v>2521</v>
      </c>
      <c r="B46" s="76" t="s">
        <v>74</v>
      </c>
      <c r="C46" s="79">
        <v>16250</v>
      </c>
      <c r="D46" s="77">
        <f t="shared" si="3"/>
        <v>6852.9</v>
      </c>
      <c r="E46" s="77">
        <v>190</v>
      </c>
      <c r="F46" s="77">
        <v>75</v>
      </c>
      <c r="G46" s="77">
        <v>1820.31</v>
      </c>
      <c r="H46" s="77">
        <v>99.99</v>
      </c>
      <c r="I46" s="77">
        <v>680</v>
      </c>
      <c r="J46" s="77">
        <v>1334.8</v>
      </c>
      <c r="K46" s="77">
        <v>1083</v>
      </c>
      <c r="L46" s="77">
        <v>1464</v>
      </c>
      <c r="M46" s="77">
        <v>0</v>
      </c>
      <c r="N46" s="77">
        <v>105.8</v>
      </c>
      <c r="O46" s="77">
        <v>0</v>
      </c>
      <c r="P46" s="77">
        <v>0</v>
      </c>
    </row>
    <row r="47" spans="1:250" x14ac:dyDescent="0.25">
      <c r="A47" s="75">
        <v>2561</v>
      </c>
      <c r="B47" s="76" t="s">
        <v>75</v>
      </c>
      <c r="C47" s="79">
        <v>5500</v>
      </c>
      <c r="D47" s="77">
        <f t="shared" si="3"/>
        <v>375.17</v>
      </c>
      <c r="E47" s="77">
        <v>0</v>
      </c>
      <c r="F47" s="77">
        <v>0</v>
      </c>
      <c r="G47" s="77">
        <v>0</v>
      </c>
      <c r="H47" s="77">
        <v>185.52</v>
      </c>
      <c r="I47" s="77">
        <v>189.65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</row>
    <row r="48" spans="1:250" ht="48" x14ac:dyDescent="0.25">
      <c r="A48" s="75">
        <v>2611</v>
      </c>
      <c r="B48" s="76" t="s">
        <v>76</v>
      </c>
      <c r="C48" s="79">
        <v>605000</v>
      </c>
      <c r="D48" s="77">
        <f t="shared" si="3"/>
        <v>356057.05</v>
      </c>
      <c r="E48" s="77">
        <f>51912.46+2110.3</f>
        <v>54022.76</v>
      </c>
      <c r="F48" s="77">
        <f>43262.28+2113.24</f>
        <v>45375.519999999997</v>
      </c>
      <c r="G48" s="77">
        <f>43677.42+1904.01</f>
        <v>45581.43</v>
      </c>
      <c r="H48" s="77">
        <f>34810.62+3800.73+222.42</f>
        <v>38833.770000000004</v>
      </c>
      <c r="I48" s="77">
        <f>52419.89+2089.85+15.52</f>
        <v>54525.259999999995</v>
      </c>
      <c r="J48" s="77">
        <f>46069.68+85.29</f>
        <v>46154.97</v>
      </c>
      <c r="K48" s="77">
        <f>34613.47+1723.14</f>
        <v>36336.61</v>
      </c>
      <c r="L48" s="77">
        <f>5541.94+3292.8+256.05</f>
        <v>9090.7899999999991</v>
      </c>
      <c r="M48" s="77">
        <f>8852.86+1028.48</f>
        <v>9881.34</v>
      </c>
      <c r="N48" s="77">
        <f>3655.75+2696.93</f>
        <v>6352.68</v>
      </c>
      <c r="O48" s="77">
        <f>1992.89+1729.19</f>
        <v>3722.08</v>
      </c>
      <c r="P48" s="77">
        <f>2250+3929.84</f>
        <v>6179.84</v>
      </c>
    </row>
    <row r="49" spans="1:250" x14ac:dyDescent="0.25">
      <c r="A49" s="75">
        <v>2711</v>
      </c>
      <c r="B49" s="76" t="s">
        <v>77</v>
      </c>
      <c r="C49" s="79">
        <v>140000</v>
      </c>
      <c r="D49" s="77">
        <f t="shared" si="3"/>
        <v>1590</v>
      </c>
      <c r="E49" s="77">
        <v>0</v>
      </c>
      <c r="F49" s="77">
        <v>0</v>
      </c>
      <c r="G49" s="77">
        <v>0</v>
      </c>
      <c r="H49" s="77">
        <v>1590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/>
    </row>
    <row r="50" spans="1:250" x14ac:dyDescent="0.25">
      <c r="A50" s="75">
        <v>2721</v>
      </c>
      <c r="B50" s="76" t="s">
        <v>78</v>
      </c>
      <c r="C50" s="79">
        <v>6000</v>
      </c>
      <c r="D50" s="77">
        <f t="shared" si="3"/>
        <v>3509.87</v>
      </c>
      <c r="E50" s="77">
        <v>50.75</v>
      </c>
      <c r="F50" s="77">
        <v>424.7</v>
      </c>
      <c r="G50" s="77">
        <v>267.39999999999998</v>
      </c>
      <c r="H50" s="77">
        <v>85.8</v>
      </c>
      <c r="I50" s="77">
        <v>353.6</v>
      </c>
      <c r="J50" s="77">
        <v>0</v>
      </c>
      <c r="K50" s="77">
        <v>0</v>
      </c>
      <c r="L50" s="77">
        <v>8.6999999999999993</v>
      </c>
      <c r="M50" s="77">
        <v>0</v>
      </c>
      <c r="N50" s="77">
        <v>0</v>
      </c>
      <c r="O50" s="77">
        <v>0</v>
      </c>
      <c r="P50" s="77">
        <v>2318.92</v>
      </c>
    </row>
    <row r="51" spans="1:250" x14ac:dyDescent="0.25">
      <c r="A51" s="75">
        <v>2731</v>
      </c>
      <c r="B51" s="76" t="s">
        <v>79</v>
      </c>
      <c r="C51" s="79">
        <v>75000</v>
      </c>
      <c r="D51" s="77">
        <f t="shared" si="3"/>
        <v>37181.119999999995</v>
      </c>
      <c r="E51" s="77">
        <v>0</v>
      </c>
      <c r="F51" s="77">
        <v>0</v>
      </c>
      <c r="G51" s="77">
        <v>3190</v>
      </c>
      <c r="H51" s="77">
        <v>4345</v>
      </c>
      <c r="I51" s="77">
        <v>0</v>
      </c>
      <c r="J51" s="77">
        <v>8316</v>
      </c>
      <c r="K51" s="77">
        <v>13064.17</v>
      </c>
      <c r="L51" s="77">
        <v>0</v>
      </c>
      <c r="M51" s="77">
        <v>0</v>
      </c>
      <c r="N51" s="77">
        <v>7915.95</v>
      </c>
      <c r="O51" s="77">
        <v>0</v>
      </c>
      <c r="P51" s="77">
        <v>350</v>
      </c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71"/>
      <c r="GL51" s="71"/>
      <c r="GM51" s="71"/>
      <c r="GN51" s="71"/>
      <c r="GO51" s="71"/>
      <c r="GP51" s="71"/>
      <c r="GQ51" s="71"/>
      <c r="GR51" s="71"/>
      <c r="GS51" s="71"/>
      <c r="GT51" s="71"/>
      <c r="GU51" s="71"/>
      <c r="GV51" s="71"/>
      <c r="GW51" s="71"/>
      <c r="GX51" s="71"/>
      <c r="GY51" s="71"/>
      <c r="GZ51" s="71"/>
      <c r="HA51" s="71"/>
      <c r="HB51" s="71"/>
      <c r="HC51" s="71"/>
      <c r="HD51" s="71"/>
      <c r="HE51" s="71"/>
      <c r="HF51" s="71"/>
      <c r="HG51" s="71"/>
      <c r="HH51" s="71"/>
      <c r="HI51" s="71"/>
      <c r="HJ51" s="71"/>
      <c r="HK51" s="71"/>
      <c r="HL51" s="71"/>
      <c r="HM51" s="71"/>
      <c r="HN51" s="71"/>
      <c r="HO51" s="71"/>
      <c r="HP51" s="71"/>
      <c r="HQ51" s="71"/>
      <c r="HR51" s="71"/>
      <c r="HS51" s="71"/>
      <c r="HT51" s="71"/>
      <c r="HU51" s="71"/>
      <c r="HV51" s="71"/>
      <c r="HW51" s="71"/>
      <c r="HX51" s="71"/>
      <c r="HY51" s="71"/>
      <c r="HZ51" s="71"/>
      <c r="IA51" s="71"/>
      <c r="IB51" s="71"/>
      <c r="IC51" s="71"/>
      <c r="ID51" s="71"/>
      <c r="IE51" s="71"/>
      <c r="IF51" s="71"/>
      <c r="IG51" s="71"/>
      <c r="IH51" s="71"/>
      <c r="II51" s="71"/>
      <c r="IJ51" s="71"/>
      <c r="IK51" s="71"/>
      <c r="IL51" s="71"/>
      <c r="IM51" s="71"/>
      <c r="IN51" s="71"/>
      <c r="IO51" s="71"/>
      <c r="IP51" s="71"/>
    </row>
    <row r="52" spans="1:250" x14ac:dyDescent="0.25">
      <c r="A52" s="75">
        <v>2911</v>
      </c>
      <c r="B52" s="76" t="s">
        <v>80</v>
      </c>
      <c r="C52" s="79">
        <v>8300</v>
      </c>
      <c r="D52" s="77">
        <f t="shared" si="3"/>
        <v>27014.149999999998</v>
      </c>
      <c r="E52" s="77">
        <v>3290.56</v>
      </c>
      <c r="F52" s="77">
        <v>0</v>
      </c>
      <c r="G52" s="77">
        <v>7024.51</v>
      </c>
      <c r="H52" s="77">
        <v>638.42999999999995</v>
      </c>
      <c r="I52" s="77">
        <v>718.98</v>
      </c>
      <c r="J52" s="77">
        <v>537.35</v>
      </c>
      <c r="K52" s="77">
        <v>9880.42</v>
      </c>
      <c r="L52" s="77">
        <v>4043.41</v>
      </c>
      <c r="M52" s="77">
        <v>501.96</v>
      </c>
      <c r="N52" s="77">
        <v>0</v>
      </c>
      <c r="O52" s="77">
        <v>114.52</v>
      </c>
      <c r="P52" s="77">
        <v>264.01</v>
      </c>
      <c r="Q52" s="95"/>
    </row>
    <row r="53" spans="1:250" x14ac:dyDescent="0.25">
      <c r="A53" s="75">
        <v>2921</v>
      </c>
      <c r="B53" s="76" t="s">
        <v>81</v>
      </c>
      <c r="C53" s="79">
        <v>7500</v>
      </c>
      <c r="D53" s="77">
        <f t="shared" si="3"/>
        <v>636.41999999999996</v>
      </c>
      <c r="E53" s="77">
        <v>0</v>
      </c>
      <c r="F53" s="77">
        <v>0</v>
      </c>
      <c r="G53" s="77">
        <v>0</v>
      </c>
      <c r="H53" s="77">
        <v>128.91999999999999</v>
      </c>
      <c r="I53" s="77">
        <v>148.91999999999999</v>
      </c>
      <c r="J53" s="77">
        <v>120</v>
      </c>
      <c r="K53" s="77">
        <v>89.66</v>
      </c>
      <c r="L53" s="77">
        <v>108.92</v>
      </c>
      <c r="M53" s="77">
        <v>0</v>
      </c>
      <c r="N53" s="77">
        <v>0</v>
      </c>
      <c r="O53" s="77">
        <v>0</v>
      </c>
      <c r="P53" s="77">
        <v>40</v>
      </c>
    </row>
    <row r="54" spans="1:250" ht="24" x14ac:dyDescent="0.25">
      <c r="A54" s="75">
        <v>2961</v>
      </c>
      <c r="B54" s="76" t="s">
        <v>82</v>
      </c>
      <c r="C54" s="79">
        <v>50000</v>
      </c>
      <c r="D54" s="77">
        <f t="shared" si="3"/>
        <v>8065.4299999999994</v>
      </c>
      <c r="E54" s="77">
        <v>0</v>
      </c>
      <c r="F54" s="77">
        <v>2616.29</v>
      </c>
      <c r="G54" s="77">
        <v>0</v>
      </c>
      <c r="H54" s="77">
        <v>626.79999999999995</v>
      </c>
      <c r="I54" s="77">
        <v>728.61</v>
      </c>
      <c r="J54" s="77">
        <v>2580.12</v>
      </c>
      <c r="K54" s="77">
        <v>150.86000000000001</v>
      </c>
      <c r="L54" s="77">
        <v>1362.75</v>
      </c>
      <c r="M54" s="77">
        <v>0</v>
      </c>
      <c r="N54" s="77">
        <v>0</v>
      </c>
      <c r="O54" s="77">
        <v>0</v>
      </c>
      <c r="P54" s="77">
        <v>0</v>
      </c>
    </row>
    <row r="55" spans="1:250" ht="24" x14ac:dyDescent="0.25">
      <c r="A55" s="75">
        <v>2981</v>
      </c>
      <c r="B55" s="76" t="s">
        <v>83</v>
      </c>
      <c r="C55" s="79">
        <v>130000</v>
      </c>
      <c r="D55" s="77">
        <f t="shared" si="3"/>
        <v>51634.520000000004</v>
      </c>
      <c r="E55" s="77">
        <v>9943.68</v>
      </c>
      <c r="F55" s="77">
        <v>3014.98</v>
      </c>
      <c r="G55" s="77">
        <v>6157.33</v>
      </c>
      <c r="H55" s="77">
        <v>2926.51</v>
      </c>
      <c r="I55" s="77">
        <v>4745.3500000000004</v>
      </c>
      <c r="J55" s="77">
        <f>7797.91</f>
        <v>7797.91</v>
      </c>
      <c r="K55" s="77">
        <v>2078.29</v>
      </c>
      <c r="L55" s="77">
        <v>6847.76</v>
      </c>
      <c r="M55" s="77">
        <v>4287.24</v>
      </c>
      <c r="N55" s="77">
        <f>914.75+107.66</f>
        <v>1022.41</v>
      </c>
      <c r="O55" s="77">
        <v>231.41</v>
      </c>
      <c r="P55" s="77">
        <f>2263.01+318.64</f>
        <v>2581.65</v>
      </c>
    </row>
    <row r="56" spans="1:250" x14ac:dyDescent="0.25">
      <c r="A56" s="80"/>
      <c r="B56" s="82" t="s">
        <v>84</v>
      </c>
      <c r="C56" s="82">
        <f t="shared" ref="C56:P56" si="4">SUM(C31:C55)</f>
        <v>1317050</v>
      </c>
      <c r="D56" s="96">
        <f t="shared" si="4"/>
        <v>628174.1100000001</v>
      </c>
      <c r="E56" s="81">
        <f t="shared" si="4"/>
        <v>79625.600000000006</v>
      </c>
      <c r="F56" s="81">
        <f t="shared" si="4"/>
        <v>63891.77</v>
      </c>
      <c r="G56" s="81">
        <f t="shared" si="4"/>
        <v>73155.55</v>
      </c>
      <c r="H56" s="81">
        <f t="shared" si="4"/>
        <v>70127.289999999994</v>
      </c>
      <c r="I56" s="81">
        <f t="shared" si="4"/>
        <v>81960.930000000008</v>
      </c>
      <c r="J56" s="81">
        <f t="shared" si="4"/>
        <v>89670.670000000013</v>
      </c>
      <c r="K56" s="81">
        <f t="shared" si="4"/>
        <v>69894.209999999992</v>
      </c>
      <c r="L56" s="81">
        <f t="shared" si="4"/>
        <v>31218.269999999997</v>
      </c>
      <c r="M56" s="81">
        <f t="shared" si="4"/>
        <v>17814.68</v>
      </c>
      <c r="N56" s="81">
        <f t="shared" si="4"/>
        <v>23693.55</v>
      </c>
      <c r="O56" s="81">
        <f t="shared" si="4"/>
        <v>9235.0299999999988</v>
      </c>
      <c r="P56" s="97">
        <f t="shared" si="4"/>
        <v>17886.560000000001</v>
      </c>
    </row>
    <row r="57" spans="1:250" x14ac:dyDescent="0.25">
      <c r="A57" s="75">
        <v>3111</v>
      </c>
      <c r="B57" s="76" t="s">
        <v>85</v>
      </c>
      <c r="C57" s="79">
        <v>243200.01</v>
      </c>
      <c r="D57" s="77">
        <f t="shared" si="3"/>
        <v>212603.46</v>
      </c>
      <c r="E57" s="77">
        <f>19922.41-E58</f>
        <v>18191.38</v>
      </c>
      <c r="F57" s="79">
        <f>12949.14-F58</f>
        <v>11482.759999999998</v>
      </c>
      <c r="G57" s="79">
        <f>20584.48-G58</f>
        <v>19229.309999999998</v>
      </c>
      <c r="H57" s="77">
        <v>16838.79</v>
      </c>
      <c r="I57" s="79">
        <f>20934.48-I58</f>
        <v>19381.03</v>
      </c>
      <c r="J57" s="79">
        <f>22012.92-J58</f>
        <v>20839.64</v>
      </c>
      <c r="K57" s="77">
        <v>24479.31</v>
      </c>
      <c r="L57" s="77">
        <f>10211.21+5998.28</f>
        <v>16209.489999999998</v>
      </c>
      <c r="M57" s="77">
        <f>129.31+17941.37</f>
        <v>18070.68</v>
      </c>
      <c r="N57" s="77">
        <f>12836.21-N58</f>
        <v>12465.519999999999</v>
      </c>
      <c r="O57" s="77">
        <f>20624.14-1189.63</f>
        <v>19434.509999999998</v>
      </c>
      <c r="P57" s="98">
        <f>16355.18-374.14</f>
        <v>15981.04</v>
      </c>
    </row>
    <row r="58" spans="1:250" ht="24" x14ac:dyDescent="0.25">
      <c r="A58" s="75">
        <v>3113</v>
      </c>
      <c r="B58" s="76" t="s">
        <v>86</v>
      </c>
      <c r="C58" s="79">
        <v>33600</v>
      </c>
      <c r="D58" s="77">
        <f t="shared" si="3"/>
        <v>13673.25</v>
      </c>
      <c r="E58" s="77">
        <v>1731.03</v>
      </c>
      <c r="F58" s="77">
        <v>1466.38</v>
      </c>
      <c r="G58" s="77">
        <v>1355.17</v>
      </c>
      <c r="H58" s="77">
        <v>1563.79</v>
      </c>
      <c r="I58" s="77">
        <v>1553.45</v>
      </c>
      <c r="J58" s="77">
        <v>1173.28</v>
      </c>
      <c r="K58" s="77">
        <v>1012.93</v>
      </c>
      <c r="L58" s="77">
        <v>1003.45</v>
      </c>
      <c r="M58" s="77">
        <v>879.31</v>
      </c>
      <c r="N58" s="77">
        <v>370.69</v>
      </c>
      <c r="O58" s="77">
        <v>1189.6300000000001</v>
      </c>
      <c r="P58" s="77">
        <v>374.14</v>
      </c>
    </row>
    <row r="59" spans="1:250" x14ac:dyDescent="0.25">
      <c r="A59" s="75">
        <v>3141</v>
      </c>
      <c r="B59" s="76" t="s">
        <v>87</v>
      </c>
      <c r="C59" s="79">
        <v>6204</v>
      </c>
      <c r="D59" s="77">
        <f t="shared" si="3"/>
        <v>3124.9300000000003</v>
      </c>
      <c r="E59" s="77">
        <v>204.32</v>
      </c>
      <c r="F59" s="77">
        <v>265.51</v>
      </c>
      <c r="G59" s="77">
        <v>265.51</v>
      </c>
      <c r="H59" s="77">
        <v>265.51</v>
      </c>
      <c r="I59" s="77">
        <v>265.51</v>
      </c>
      <c r="J59" s="77">
        <v>265.51</v>
      </c>
      <c r="K59" s="77">
        <v>265.51</v>
      </c>
      <c r="L59" s="77">
        <v>265.51</v>
      </c>
      <c r="M59" s="77">
        <v>265.51</v>
      </c>
      <c r="N59" s="77">
        <v>265.51</v>
      </c>
      <c r="O59" s="77">
        <v>265.51</v>
      </c>
      <c r="P59" s="77">
        <v>265.51</v>
      </c>
    </row>
    <row r="60" spans="1:250" ht="24" x14ac:dyDescent="0.25">
      <c r="A60" s="75">
        <v>3171</v>
      </c>
      <c r="B60" s="76" t="s">
        <v>88</v>
      </c>
      <c r="C60" s="79">
        <v>10380</v>
      </c>
      <c r="D60" s="77">
        <f t="shared" si="3"/>
        <v>4499.1799999999994</v>
      </c>
      <c r="E60" s="77">
        <v>431.03</v>
      </c>
      <c r="F60" s="77">
        <v>369.83</v>
      </c>
      <c r="G60" s="77">
        <v>369.83</v>
      </c>
      <c r="H60" s="77">
        <v>369.84</v>
      </c>
      <c r="I60" s="77">
        <v>369.84</v>
      </c>
      <c r="J60" s="77">
        <v>369.83</v>
      </c>
      <c r="K60" s="77">
        <v>369.83</v>
      </c>
      <c r="L60" s="77">
        <v>369.83</v>
      </c>
      <c r="M60" s="77">
        <v>369.83</v>
      </c>
      <c r="N60" s="77">
        <v>369.83</v>
      </c>
      <c r="O60" s="77">
        <v>369.83</v>
      </c>
      <c r="P60" s="77">
        <v>369.83</v>
      </c>
    </row>
    <row r="61" spans="1:250" x14ac:dyDescent="0.25">
      <c r="A61" s="75">
        <v>3232</v>
      </c>
      <c r="B61" s="76" t="s">
        <v>89</v>
      </c>
      <c r="C61" s="79"/>
      <c r="D61" s="77">
        <f t="shared" si="3"/>
        <v>16895.400000000001</v>
      </c>
      <c r="E61" s="77">
        <v>0</v>
      </c>
      <c r="F61" s="77">
        <v>1300</v>
      </c>
      <c r="G61" s="77">
        <v>2600</v>
      </c>
      <c r="H61" s="77">
        <v>0</v>
      </c>
      <c r="I61" s="77">
        <v>3778.2</v>
      </c>
      <c r="J61" s="77">
        <v>1300</v>
      </c>
      <c r="K61" s="77">
        <v>1300</v>
      </c>
      <c r="L61" s="77">
        <v>1417.2</v>
      </c>
      <c r="M61" s="77">
        <v>1300</v>
      </c>
      <c r="N61" s="77">
        <v>1300</v>
      </c>
      <c r="O61" s="77">
        <v>1300</v>
      </c>
      <c r="P61" s="77">
        <v>1300</v>
      </c>
    </row>
    <row r="62" spans="1:250" ht="24" x14ac:dyDescent="0.25">
      <c r="A62" s="75">
        <v>3311</v>
      </c>
      <c r="B62" s="76" t="s">
        <v>90</v>
      </c>
      <c r="C62" s="79">
        <v>20000</v>
      </c>
      <c r="D62" s="77">
        <f t="shared" si="3"/>
        <v>93684.24000000002</v>
      </c>
      <c r="E62" s="77">
        <v>0</v>
      </c>
      <c r="F62" s="77">
        <v>2931.04</v>
      </c>
      <c r="G62" s="77">
        <v>0</v>
      </c>
      <c r="H62" s="77">
        <v>2931.04</v>
      </c>
      <c r="I62" s="77">
        <v>1465.52</v>
      </c>
      <c r="J62" s="77">
        <v>2015.52</v>
      </c>
      <c r="K62" s="77">
        <v>77013.52</v>
      </c>
      <c r="L62" s="77">
        <v>1465.52</v>
      </c>
      <c r="M62" s="77">
        <v>1465.52</v>
      </c>
      <c r="N62" s="77">
        <v>1465.52</v>
      </c>
      <c r="O62" s="77">
        <v>1465.52</v>
      </c>
      <c r="P62" s="77">
        <v>1465.52</v>
      </c>
    </row>
    <row r="63" spans="1:250" x14ac:dyDescent="0.25">
      <c r="A63" s="75">
        <v>3363</v>
      </c>
      <c r="B63" s="76" t="s">
        <v>91</v>
      </c>
      <c r="C63" s="79">
        <v>45000</v>
      </c>
      <c r="D63" s="77">
        <f t="shared" si="3"/>
        <v>2550</v>
      </c>
      <c r="E63" s="77">
        <v>650</v>
      </c>
      <c r="F63" s="77">
        <v>700</v>
      </c>
      <c r="G63" s="77">
        <v>0</v>
      </c>
      <c r="H63" s="77">
        <v>0</v>
      </c>
      <c r="I63" s="77">
        <v>0</v>
      </c>
      <c r="J63" s="77">
        <v>0</v>
      </c>
      <c r="K63" s="77">
        <v>1200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</row>
    <row r="64" spans="1:250" x14ac:dyDescent="0.25">
      <c r="A64" s="75">
        <v>3366</v>
      </c>
      <c r="B64" s="76" t="s">
        <v>92</v>
      </c>
      <c r="C64" s="79">
        <v>8400</v>
      </c>
      <c r="D64" s="77">
        <f t="shared" si="3"/>
        <v>0</v>
      </c>
      <c r="E64" s="77">
        <v>0</v>
      </c>
      <c r="F64" s="77">
        <v>0</v>
      </c>
      <c r="G64" s="77">
        <v>0</v>
      </c>
      <c r="H64" s="77">
        <v>0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</row>
    <row r="65" spans="1:250" x14ac:dyDescent="0.25">
      <c r="A65" s="75">
        <v>3381</v>
      </c>
      <c r="B65" s="76" t="s">
        <v>93</v>
      </c>
      <c r="C65" s="79">
        <v>3400</v>
      </c>
      <c r="D65" s="77">
        <f t="shared" si="3"/>
        <v>9701.119999999999</v>
      </c>
      <c r="E65" s="77">
        <v>0</v>
      </c>
      <c r="F65" s="77">
        <v>3207.94</v>
      </c>
      <c r="G65" s="77">
        <v>811.65</v>
      </c>
      <c r="H65" s="77">
        <v>0</v>
      </c>
      <c r="I65" s="77">
        <v>811.65</v>
      </c>
      <c r="J65" s="77">
        <v>0</v>
      </c>
      <c r="K65" s="77">
        <v>811.65</v>
      </c>
      <c r="L65" s="77">
        <v>811.65</v>
      </c>
      <c r="M65" s="77">
        <v>0</v>
      </c>
      <c r="N65" s="77">
        <v>1623.3</v>
      </c>
      <c r="O65" s="77">
        <v>811.65</v>
      </c>
      <c r="P65" s="77">
        <v>811.63</v>
      </c>
    </row>
    <row r="66" spans="1:250" x14ac:dyDescent="0.25">
      <c r="A66" s="75">
        <v>3411</v>
      </c>
      <c r="B66" s="76" t="s">
        <v>94</v>
      </c>
      <c r="C66" s="79">
        <v>20000</v>
      </c>
      <c r="D66" s="77">
        <f t="shared" si="3"/>
        <v>15478.32</v>
      </c>
      <c r="E66" s="77">
        <v>1293.3</v>
      </c>
      <c r="F66" s="77">
        <v>1429</v>
      </c>
      <c r="G66" s="77">
        <v>1166.2</v>
      </c>
      <c r="H66" s="77">
        <v>1162.8800000000001</v>
      </c>
      <c r="I66" s="77">
        <v>1178.5999999999999</v>
      </c>
      <c r="J66" s="77">
        <v>1163.92</v>
      </c>
      <c r="K66" s="77">
        <v>1544</v>
      </c>
      <c r="L66" s="77">
        <v>1151.8</v>
      </c>
      <c r="M66" s="77">
        <v>1159.5999999999999</v>
      </c>
      <c r="N66" s="77">
        <v>1538.2</v>
      </c>
      <c r="O66" s="77">
        <v>1119.4000000000001</v>
      </c>
      <c r="P66" s="77">
        <v>1571.42</v>
      </c>
    </row>
    <row r="67" spans="1:250" x14ac:dyDescent="0.25">
      <c r="A67" s="75">
        <v>3451</v>
      </c>
      <c r="B67" s="76" t="s">
        <v>95</v>
      </c>
      <c r="C67" s="79">
        <v>263318</v>
      </c>
      <c r="D67" s="77">
        <f t="shared" si="3"/>
        <v>233447.24</v>
      </c>
      <c r="E67" s="77">
        <v>0</v>
      </c>
      <c r="F67" s="77">
        <v>250773.69</v>
      </c>
      <c r="G67" s="77">
        <v>0</v>
      </c>
      <c r="H67" s="77">
        <v>0</v>
      </c>
      <c r="I67" s="77">
        <v>-17326.45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</row>
    <row r="68" spans="1:250" ht="24" x14ac:dyDescent="0.25">
      <c r="A68" s="75">
        <v>3511</v>
      </c>
      <c r="B68" s="76" t="s">
        <v>96</v>
      </c>
      <c r="C68" s="79">
        <v>6000</v>
      </c>
      <c r="D68" s="77">
        <f t="shared" si="3"/>
        <v>650</v>
      </c>
      <c r="E68" s="77">
        <v>0</v>
      </c>
      <c r="F68" s="77">
        <v>0</v>
      </c>
      <c r="G68" s="77">
        <v>200</v>
      </c>
      <c r="H68" s="77">
        <v>0</v>
      </c>
      <c r="I68" s="77">
        <v>250</v>
      </c>
      <c r="J68" s="77">
        <v>200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</row>
    <row r="69" spans="1:250" ht="24" x14ac:dyDescent="0.25">
      <c r="A69" s="75">
        <v>3531</v>
      </c>
      <c r="B69" s="76" t="s">
        <v>97</v>
      </c>
      <c r="C69" s="79">
        <v>10000</v>
      </c>
      <c r="D69" s="77">
        <f t="shared" si="3"/>
        <v>8584.82</v>
      </c>
      <c r="E69" s="77">
        <v>0</v>
      </c>
      <c r="F69" s="77">
        <v>0</v>
      </c>
      <c r="G69" s="77">
        <v>0</v>
      </c>
      <c r="H69" s="77">
        <v>0</v>
      </c>
      <c r="I69" s="77">
        <v>3150</v>
      </c>
      <c r="J69" s="77">
        <v>550</v>
      </c>
      <c r="K69" s="77">
        <v>344.82</v>
      </c>
      <c r="L69" s="77">
        <v>0</v>
      </c>
      <c r="M69" s="77">
        <v>0</v>
      </c>
      <c r="N69" s="77">
        <v>700</v>
      </c>
      <c r="O69" s="77">
        <v>3840</v>
      </c>
      <c r="P69" s="77">
        <v>0</v>
      </c>
    </row>
    <row r="70" spans="1:250" ht="24" x14ac:dyDescent="0.25">
      <c r="A70" s="75">
        <v>3551</v>
      </c>
      <c r="B70" s="76" t="s">
        <v>98</v>
      </c>
      <c r="C70" s="79">
        <v>33000</v>
      </c>
      <c r="D70" s="77">
        <f t="shared" si="3"/>
        <v>6507</v>
      </c>
      <c r="E70" s="77">
        <v>960</v>
      </c>
      <c r="F70" s="77">
        <v>3250</v>
      </c>
      <c r="G70" s="77">
        <v>210</v>
      </c>
      <c r="H70" s="77">
        <v>0</v>
      </c>
      <c r="I70" s="77">
        <v>0</v>
      </c>
      <c r="J70" s="77">
        <v>1000</v>
      </c>
      <c r="K70" s="77">
        <v>0</v>
      </c>
      <c r="L70" s="77">
        <v>105</v>
      </c>
      <c r="M70" s="77">
        <v>832</v>
      </c>
      <c r="N70" s="77">
        <v>100</v>
      </c>
      <c r="O70" s="77">
        <v>0</v>
      </c>
      <c r="P70" s="77">
        <v>50</v>
      </c>
    </row>
    <row r="71" spans="1:250" ht="24" x14ac:dyDescent="0.25">
      <c r="A71" s="75">
        <v>3571</v>
      </c>
      <c r="B71" s="76" t="s">
        <v>99</v>
      </c>
      <c r="C71" s="79">
        <v>50000</v>
      </c>
      <c r="D71" s="77">
        <f t="shared" si="3"/>
        <v>40834.410000000003</v>
      </c>
      <c r="E71" s="77">
        <v>9340</v>
      </c>
      <c r="F71" s="77">
        <v>3350</v>
      </c>
      <c r="G71" s="77">
        <v>12200</v>
      </c>
      <c r="H71" s="77">
        <v>1920</v>
      </c>
      <c r="I71" s="77">
        <v>5992</v>
      </c>
      <c r="J71" s="77">
        <v>2602.41</v>
      </c>
      <c r="K71" s="77">
        <v>1570</v>
      </c>
      <c r="L71" s="77">
        <v>3860</v>
      </c>
      <c r="M71" s="77">
        <v>0</v>
      </c>
      <c r="N71" s="77">
        <v>0</v>
      </c>
      <c r="O71" s="77">
        <v>0</v>
      </c>
      <c r="P71" s="77">
        <v>0</v>
      </c>
    </row>
    <row r="72" spans="1:250" ht="24" x14ac:dyDescent="0.25">
      <c r="A72" s="75">
        <v>3572</v>
      </c>
      <c r="B72" s="76" t="s">
        <v>100</v>
      </c>
      <c r="C72" s="79">
        <v>2500</v>
      </c>
      <c r="D72" s="77">
        <f t="shared" si="3"/>
        <v>603.62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>
        <v>0</v>
      </c>
      <c r="P72" s="77">
        <v>603.62</v>
      </c>
    </row>
    <row r="73" spans="1:250" ht="36" x14ac:dyDescent="0.25">
      <c r="A73" s="75">
        <v>3621</v>
      </c>
      <c r="B73" s="76" t="s">
        <v>101</v>
      </c>
      <c r="C73" s="79">
        <v>3691</v>
      </c>
      <c r="D73" s="77">
        <f t="shared" si="3"/>
        <v>2120</v>
      </c>
      <c r="E73" s="77">
        <v>0</v>
      </c>
      <c r="F73" s="77">
        <v>990</v>
      </c>
      <c r="G73" s="77">
        <v>0</v>
      </c>
      <c r="H73" s="77">
        <v>550</v>
      </c>
      <c r="I73" s="77">
        <v>0</v>
      </c>
      <c r="J73" s="77">
        <v>170</v>
      </c>
      <c r="K73" s="77">
        <v>0</v>
      </c>
      <c r="L73" s="77">
        <v>0</v>
      </c>
      <c r="M73" s="77">
        <v>410</v>
      </c>
      <c r="N73" s="77">
        <v>0</v>
      </c>
      <c r="O73" s="77">
        <v>0</v>
      </c>
      <c r="P73" s="77">
        <v>0</v>
      </c>
    </row>
    <row r="74" spans="1:250" x14ac:dyDescent="0.25">
      <c r="A74" s="75">
        <v>3921</v>
      </c>
      <c r="B74" s="76" t="s">
        <v>102</v>
      </c>
      <c r="C74" s="79">
        <v>1500</v>
      </c>
      <c r="D74" s="77">
        <f t="shared" si="3"/>
        <v>186987.44000000003</v>
      </c>
      <c r="E74" s="77">
        <v>16927.919999999998</v>
      </c>
      <c r="F74" s="77">
        <f>54717.24</f>
        <v>54717.24</v>
      </c>
      <c r="G74" s="77">
        <v>13428.69</v>
      </c>
      <c r="H74" s="77">
        <v>13419.04</v>
      </c>
      <c r="I74" s="77">
        <v>13452.94</v>
      </c>
      <c r="J74" s="77">
        <v>20271.32</v>
      </c>
      <c r="K74" s="77">
        <v>26018.240000000002</v>
      </c>
      <c r="L74" s="77">
        <v>5826.76</v>
      </c>
      <c r="M74" s="77">
        <v>6975.19</v>
      </c>
      <c r="N74" s="77">
        <f>5118.76+404.25</f>
        <v>5523.01</v>
      </c>
      <c r="O74" s="77">
        <v>5891.85</v>
      </c>
      <c r="P74" s="77">
        <v>4535.24</v>
      </c>
    </row>
    <row r="75" spans="1:250" x14ac:dyDescent="0.25">
      <c r="A75" s="75">
        <v>3941</v>
      </c>
      <c r="B75" s="76" t="s">
        <v>103</v>
      </c>
      <c r="C75" s="79">
        <v>0</v>
      </c>
      <c r="D75" s="77">
        <f t="shared" si="3"/>
        <v>297697.38</v>
      </c>
      <c r="E75" s="77">
        <v>0</v>
      </c>
      <c r="F75" s="77">
        <v>0</v>
      </c>
      <c r="G75" s="77">
        <v>0</v>
      </c>
      <c r="H75" s="77">
        <v>197368.43</v>
      </c>
      <c r="I75" s="77">
        <v>50986.84</v>
      </c>
      <c r="J75" s="77">
        <v>49342.11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</row>
    <row r="76" spans="1:250" x14ac:dyDescent="0.25">
      <c r="A76" s="75">
        <v>3993</v>
      </c>
      <c r="B76" s="76" t="s">
        <v>104</v>
      </c>
      <c r="C76" s="79">
        <v>645000</v>
      </c>
      <c r="D76" s="77">
        <f t="shared" si="3"/>
        <v>3735.7100000000005</v>
      </c>
      <c r="E76" s="77">
        <v>43.3</v>
      </c>
      <c r="F76" s="77">
        <v>172.11</v>
      </c>
      <c r="G76" s="77">
        <v>450.15</v>
      </c>
      <c r="H76" s="77">
        <v>233.83</v>
      </c>
      <c r="I76" s="77">
        <v>465.09</v>
      </c>
      <c r="J76" s="77">
        <f>337.14+18+10</f>
        <v>365.14</v>
      </c>
      <c r="K76" s="77">
        <v>20.45</v>
      </c>
      <c r="L76" s="77">
        <v>492.02</v>
      </c>
      <c r="M76" s="77">
        <v>405.05</v>
      </c>
      <c r="N76" s="77">
        <v>344.5</v>
      </c>
      <c r="O76" s="77">
        <v>0</v>
      </c>
      <c r="P76" s="77">
        <v>744.07</v>
      </c>
    </row>
    <row r="77" spans="1:250" x14ac:dyDescent="0.25">
      <c r="A77" s="80"/>
      <c r="B77" s="82" t="s">
        <v>105</v>
      </c>
      <c r="C77" s="82">
        <f t="shared" ref="C77:P77" si="5">SUM(C57:C76)</f>
        <v>1405193.01</v>
      </c>
      <c r="D77" s="96">
        <f t="shared" si="5"/>
        <v>1153377.52</v>
      </c>
      <c r="E77" s="81">
        <f t="shared" si="5"/>
        <v>49772.28</v>
      </c>
      <c r="F77" s="81">
        <f t="shared" si="5"/>
        <v>336405.5</v>
      </c>
      <c r="G77" s="81">
        <f t="shared" si="5"/>
        <v>52286.51</v>
      </c>
      <c r="H77" s="81">
        <f t="shared" si="5"/>
        <v>236623.15</v>
      </c>
      <c r="I77" s="81">
        <f t="shared" si="5"/>
        <v>85774.22</v>
      </c>
      <c r="J77" s="81">
        <f t="shared" si="5"/>
        <v>101628.68</v>
      </c>
      <c r="K77" s="81">
        <f t="shared" si="5"/>
        <v>135950.26</v>
      </c>
      <c r="L77" s="81">
        <f t="shared" si="5"/>
        <v>32978.229999999996</v>
      </c>
      <c r="M77" s="81">
        <f t="shared" si="5"/>
        <v>32132.69</v>
      </c>
      <c r="N77" s="81">
        <f t="shared" si="5"/>
        <v>26066.080000000002</v>
      </c>
      <c r="O77" s="81">
        <f t="shared" si="5"/>
        <v>35687.9</v>
      </c>
      <c r="P77" s="97">
        <f t="shared" si="5"/>
        <v>28072.020000000004</v>
      </c>
    </row>
    <row r="78" spans="1:250" x14ac:dyDescent="0.25">
      <c r="A78" s="75">
        <v>4419</v>
      </c>
      <c r="B78" s="76" t="s">
        <v>106</v>
      </c>
      <c r="C78" s="79">
        <v>167500</v>
      </c>
      <c r="D78" s="77">
        <f t="shared" si="3"/>
        <v>578581.42000000004</v>
      </c>
      <c r="E78" s="79">
        <v>0</v>
      </c>
      <c r="F78" s="79">
        <v>0</v>
      </c>
      <c r="G78" s="83">
        <v>0</v>
      </c>
      <c r="H78" s="83">
        <v>0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3">
        <v>0</v>
      </c>
      <c r="O78" s="83">
        <v>0</v>
      </c>
      <c r="P78" s="83">
        <v>578581.42000000004</v>
      </c>
    </row>
    <row r="79" spans="1:250" x14ac:dyDescent="0.25">
      <c r="A79" s="80"/>
      <c r="B79" s="82" t="s">
        <v>107</v>
      </c>
      <c r="C79" s="82">
        <f>SUM(C78)</f>
        <v>167500</v>
      </c>
      <c r="D79" s="96">
        <f>SUM(D78)</f>
        <v>578581.42000000004</v>
      </c>
      <c r="E79" s="81">
        <f t="shared" ref="E79:P79" si="6">SUM(E78:E78)</f>
        <v>0</v>
      </c>
      <c r="F79" s="81">
        <f t="shared" si="6"/>
        <v>0</v>
      </c>
      <c r="G79" s="81">
        <f t="shared" si="6"/>
        <v>0</v>
      </c>
      <c r="H79" s="81">
        <f t="shared" si="6"/>
        <v>0</v>
      </c>
      <c r="I79" s="81">
        <f t="shared" si="6"/>
        <v>0</v>
      </c>
      <c r="J79" s="81">
        <f t="shared" si="6"/>
        <v>0</v>
      </c>
      <c r="K79" s="81">
        <f t="shared" si="6"/>
        <v>0</v>
      </c>
      <c r="L79" s="81">
        <f t="shared" si="6"/>
        <v>0</v>
      </c>
      <c r="M79" s="81">
        <f t="shared" si="6"/>
        <v>0</v>
      </c>
      <c r="N79" s="81">
        <f t="shared" si="6"/>
        <v>0</v>
      </c>
      <c r="O79" s="81">
        <f t="shared" si="6"/>
        <v>0</v>
      </c>
      <c r="P79" s="97">
        <f t="shared" si="6"/>
        <v>578581.42000000004</v>
      </c>
    </row>
    <row r="80" spans="1:250" x14ac:dyDescent="0.25">
      <c r="A80" s="71"/>
      <c r="B80" s="70"/>
      <c r="C80" s="84"/>
      <c r="D80" s="84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</row>
    <row r="81" spans="1:250" x14ac:dyDescent="0.25">
      <c r="A81" s="80"/>
      <c r="B81" s="82" t="s">
        <v>108</v>
      </c>
      <c r="C81" s="82">
        <f t="shared" ref="C81:P81" si="7">+SUM(C10:C79)/2</f>
        <v>23488820.699999996</v>
      </c>
      <c r="D81" s="82">
        <f t="shared" si="7"/>
        <v>24012259.100000005</v>
      </c>
      <c r="E81" s="81">
        <f t="shared" si="7"/>
        <v>1779114.3399999996</v>
      </c>
      <c r="F81" s="81">
        <f t="shared" si="7"/>
        <v>2103288.71</v>
      </c>
      <c r="G81" s="81">
        <f t="shared" si="7"/>
        <v>1830490.4199999997</v>
      </c>
      <c r="H81" s="81">
        <f t="shared" si="7"/>
        <v>1956500.4200000004</v>
      </c>
      <c r="I81" s="81">
        <f t="shared" si="7"/>
        <v>1839676.01</v>
      </c>
      <c r="J81" s="81">
        <f t="shared" si="7"/>
        <v>1843052.4600000002</v>
      </c>
      <c r="K81" s="81">
        <f t="shared" si="7"/>
        <v>2321833.87</v>
      </c>
      <c r="L81" s="81">
        <f t="shared" si="7"/>
        <v>1843426.6800000006</v>
      </c>
      <c r="M81" s="81">
        <f t="shared" si="7"/>
        <v>1750283.38</v>
      </c>
      <c r="N81" s="81">
        <f t="shared" si="7"/>
        <v>2253098.9099999997</v>
      </c>
      <c r="O81" s="81">
        <f t="shared" si="7"/>
        <v>1786063.4799999995</v>
      </c>
      <c r="P81" s="97">
        <f t="shared" si="7"/>
        <v>2705430.4199999995</v>
      </c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</row>
    <row r="82" spans="1:250" s="108" customFormat="1" ht="9" customHeight="1" x14ac:dyDescent="0.25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7"/>
      <c r="CP82" s="107"/>
      <c r="CQ82" s="107"/>
      <c r="CR82" s="107"/>
      <c r="CS82" s="107"/>
      <c r="CT82" s="107"/>
      <c r="CU82" s="107"/>
      <c r="CV82" s="107"/>
      <c r="CW82" s="107"/>
      <c r="CX82" s="107"/>
      <c r="CY82" s="107"/>
      <c r="CZ82" s="107"/>
      <c r="DA82" s="107"/>
      <c r="DB82" s="107"/>
      <c r="DC82" s="107"/>
      <c r="DD82" s="107"/>
      <c r="DE82" s="107"/>
      <c r="DF82" s="107"/>
      <c r="DG82" s="107"/>
      <c r="DH82" s="107"/>
      <c r="DI82" s="107"/>
      <c r="DJ82" s="107"/>
      <c r="DK82" s="107"/>
      <c r="DL82" s="107"/>
      <c r="DM82" s="107"/>
      <c r="DN82" s="107"/>
      <c r="DO82" s="107"/>
      <c r="DP82" s="107"/>
      <c r="DQ82" s="107"/>
      <c r="DR82" s="107"/>
      <c r="DS82" s="107"/>
      <c r="DT82" s="107"/>
      <c r="DU82" s="107"/>
      <c r="DV82" s="107"/>
      <c r="DW82" s="107"/>
      <c r="DX82" s="107"/>
      <c r="DY82" s="107"/>
      <c r="DZ82" s="107"/>
      <c r="EA82" s="107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S82" s="107"/>
      <c r="FT82" s="107"/>
      <c r="FU82" s="107"/>
      <c r="FV82" s="107"/>
      <c r="FW82" s="107"/>
      <c r="FX82" s="107"/>
      <c r="FY82" s="107"/>
      <c r="FZ82" s="107"/>
      <c r="GA82" s="107"/>
      <c r="GB82" s="107"/>
      <c r="GC82" s="107"/>
      <c r="GD82" s="107"/>
      <c r="GE82" s="107"/>
      <c r="GF82" s="107"/>
      <c r="GG82" s="107"/>
      <c r="GH82" s="107"/>
      <c r="GI82" s="107"/>
      <c r="GJ82" s="107"/>
      <c r="GK82" s="107"/>
      <c r="GL82" s="107"/>
      <c r="GM82" s="107"/>
      <c r="GN82" s="107"/>
      <c r="GO82" s="107"/>
      <c r="GP82" s="107"/>
      <c r="GQ82" s="107"/>
      <c r="GR82" s="107"/>
      <c r="GS82" s="107"/>
      <c r="GT82" s="107"/>
      <c r="GU82" s="107"/>
      <c r="GV82" s="107"/>
      <c r="GW82" s="107"/>
      <c r="GX82" s="107"/>
      <c r="GY82" s="107"/>
      <c r="GZ82" s="107"/>
      <c r="HA82" s="107"/>
      <c r="HB82" s="107"/>
      <c r="HC82" s="107"/>
      <c r="HD82" s="107"/>
      <c r="HE82" s="107"/>
      <c r="HF82" s="107"/>
      <c r="HG82" s="107"/>
      <c r="HH82" s="107"/>
      <c r="HI82" s="107"/>
      <c r="HJ82" s="107"/>
      <c r="HK82" s="107"/>
      <c r="HL82" s="107"/>
      <c r="HM82" s="107"/>
      <c r="HN82" s="107"/>
      <c r="HO82" s="107"/>
      <c r="HP82" s="107"/>
      <c r="HQ82" s="107"/>
      <c r="HR82" s="107"/>
      <c r="HS82" s="107"/>
      <c r="HT82" s="107"/>
      <c r="HU82" s="107"/>
      <c r="HV82" s="107"/>
      <c r="HW82" s="107"/>
      <c r="HX82" s="107"/>
      <c r="HY82" s="107"/>
      <c r="HZ82" s="107"/>
      <c r="IA82" s="107"/>
      <c r="IB82" s="107"/>
      <c r="IC82" s="107"/>
      <c r="ID82" s="107"/>
      <c r="IE82" s="107"/>
      <c r="IF82" s="107"/>
      <c r="IG82" s="107"/>
      <c r="IH82" s="107"/>
      <c r="II82" s="107"/>
      <c r="IJ82" s="107"/>
      <c r="IK82" s="107"/>
      <c r="IL82" s="107"/>
      <c r="IM82" s="107"/>
      <c r="IN82" s="107"/>
      <c r="IO82" s="107"/>
      <c r="IP82" s="107"/>
    </row>
  </sheetData>
  <protectedRanges>
    <protectedRange sqref="E57:P57" name="Rango10"/>
    <protectedRange sqref="E13:P29" name="Rango2"/>
    <protectedRange sqref="E78:P78" name="Rango4"/>
  </protectedRanges>
  <mergeCells count="5">
    <mergeCell ref="G1:H1"/>
    <mergeCell ref="M3:N3"/>
    <mergeCell ref="A11:A12"/>
    <mergeCell ref="B11:B12"/>
    <mergeCell ref="E11:P11"/>
  </mergeCells>
  <pageMargins left="0.19685039370078741" right="0.19685039370078741" top="0.23622047244094491" bottom="0.15748031496062992" header="0.31496062992125984" footer="0.15748031496062992"/>
  <pageSetup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estimados</vt:lpstr>
      <vt:lpstr>Presupuesto egresos art.46LPCGC</vt:lpstr>
      <vt:lpstr>'Presupuesto egresos art.46LPCGC'!Área_de_impresión</vt:lpstr>
    </vt:vector>
  </TitlesOfParts>
  <Company>Usuario 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pc</cp:lastModifiedBy>
  <cp:lastPrinted>2018-03-05T17:56:14Z</cp:lastPrinted>
  <dcterms:created xsi:type="dcterms:W3CDTF">2018-02-22T18:03:09Z</dcterms:created>
  <dcterms:modified xsi:type="dcterms:W3CDTF">2018-03-07T18:27:55Z</dcterms:modified>
</cp:coreProperties>
</file>