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drawings/drawing23.xml" ContentType="application/vnd.openxmlformats-officedocument.drawing+xml"/>
  <Override PartName="/xl/comments23.xml" ContentType="application/vnd.openxmlformats-officedocument.spreadsheetml.comments+xml"/>
  <Override PartName="/xl/drawings/drawing24.xml" ContentType="application/vnd.openxmlformats-officedocument.drawing+xml"/>
  <Override PartName="/xl/comments24.xml" ContentType="application/vnd.openxmlformats-officedocument.spreadsheetml.comments+xml"/>
  <Override PartName="/xl/drawings/drawing25.xml" ContentType="application/vnd.openxmlformats-officedocument.drawing+xml"/>
  <Override PartName="/xl/comments25.xml" ContentType="application/vnd.openxmlformats-officedocument.spreadsheetml.comments+xml"/>
  <Override PartName="/xl/drawings/drawing26.xml" ContentType="application/vnd.openxmlformats-officedocument.drawing+xml"/>
  <Override PartName="/xl/comments26.xml" ContentType="application/vnd.openxmlformats-officedocument.spreadsheetml.comments+xml"/>
  <Override PartName="/xl/drawings/drawing27.xml" ContentType="application/vnd.openxmlformats-officedocument.drawing+xml"/>
  <Override PartName="/xl/comments27.xml" ContentType="application/vnd.openxmlformats-officedocument.spreadsheetml.comment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omments28.xml" ContentType="application/vnd.openxmlformats-officedocument.spreadsheetml.comments+xml"/>
  <Override PartName="/xl/drawings/drawing31.xml" ContentType="application/vnd.openxmlformats-officedocument.drawing+xml"/>
  <Override PartName="/xl/comments29.xml" ContentType="application/vnd.openxmlformats-officedocument.spreadsheetml.comments+xml"/>
  <Override PartName="/xl/drawings/drawing32.xml" ContentType="application/vnd.openxmlformats-officedocument.drawing+xml"/>
  <Override PartName="/xl/comments30.xml" ContentType="application/vnd.openxmlformats-officedocument.spreadsheetml.comments+xml"/>
  <Override PartName="/xl/drawings/drawing33.xml" ContentType="application/vnd.openxmlformats-officedocument.drawing+xml"/>
  <Override PartName="/xl/comments31.xml" ContentType="application/vnd.openxmlformats-officedocument.spreadsheetml.comments+xml"/>
  <Override PartName="/xl/drawings/drawing34.xml" ContentType="application/vnd.openxmlformats-officedocument.drawing+xml"/>
  <Override PartName="/xl/comments32.xml" ContentType="application/vnd.openxmlformats-officedocument.spreadsheetml.comment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omments33.xml" ContentType="application/vnd.openxmlformats-officedocument.spreadsheetml.comments+xml"/>
  <Override PartName="/xl/drawings/drawing37.xml" ContentType="application/vnd.openxmlformats-officedocument.drawing+xml"/>
  <Override PartName="/xl/comments34.xml" ContentType="application/vnd.openxmlformats-officedocument.spreadsheetml.comments+xml"/>
  <Override PartName="/xl/drawings/drawing38.xml" ContentType="application/vnd.openxmlformats-officedocument.drawing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1595" windowHeight="8700" activeTab="33"/>
  </bookViews>
  <sheets>
    <sheet name="CONTRALORIA" sheetId="89" r:id="rId1"/>
    <sheet name="PRESIDENCIA 2015 YA" sheetId="60" r:id="rId2"/>
    <sheet name="HACIENDA YA 2015" sheetId="57" r:id="rId3"/>
    <sheet name="INSTITUTO DE LA JUVENTUD" sheetId="86" r:id="rId4"/>
    <sheet name="OFICIALÍA MAYOR YA 2015" sheetId="62" r:id="rId5"/>
    <sheet name="SECRETARÍA YA 2015" sheetId="61" r:id="rId6"/>
    <sheet name="RECLUTAMIENTO YA 2015" sheetId="64" r:id="rId7"/>
    <sheet name="PARQUE VEHICULAR YA 2015" sheetId="65" r:id="rId8"/>
    <sheet name="COMUNICACIÓN SOCIAL YA 2015" sheetId="66" r:id="rId9"/>
    <sheet name="CÓMPUTO E INFORMÁTICA YA 2015" sheetId="67" r:id="rId10"/>
    <sheet name="DEPORTES YA 2015" sheetId="68" r:id="rId11"/>
    <sheet name="JURÍDICO YA 2015" sheetId="63" r:id="rId12"/>
    <sheet name="PROMOCIÓN ECONÓMICA YA 2015" sheetId="69" r:id="rId13"/>
    <sheet name="ECOLOGÍA YA 2015" sheetId="70" r:id="rId14"/>
    <sheet name="DESARROLLO RURAL YA 2015" sheetId="73" r:id="rId15"/>
    <sheet name="PROTECCIÓN CIVIL YA 2015" sheetId="74" r:id="rId16"/>
    <sheet name="OBRAS PÚBLICAS YA 2015" sheetId="76" r:id="rId17"/>
    <sheet name="CE-MUJER YA 2015" sheetId="77" r:id="rId18"/>
    <sheet name="CATASTRO 2015 YA" sheetId="78" r:id="rId19"/>
    <sheet name="CULTURA DEL AGUA" sheetId="79" r:id="rId20"/>
    <sheet name="REG. CIVIL 2015 YA" sheetId="80" r:id="rId21"/>
    <sheet name="SERV. PÚB. 2015 YA" sheetId="81" r:id="rId22"/>
    <sheet name="TRAILERS DE AYUDA" sheetId="82" r:id="rId23"/>
    <sheet name="PLANEACIÓN, PROGRAMACIÓN Y PRES" sheetId="83" r:id="rId24"/>
    <sheet name="PART. C" sheetId="84" r:id="rId25"/>
    <sheet name="JUZGADO SIN REVALÚO" sheetId="87" r:id="rId26"/>
    <sheet name="JUZGADO" sheetId="85" r:id="rId27"/>
    <sheet name="SEG. PUBLICA" sheetId="21" r:id="rId28"/>
    <sheet name="ELIMINAR" sheetId="53" r:id="rId29"/>
    <sheet name="SÍNDICO" sheetId="88" r:id="rId30"/>
    <sheet name="DESARROLLO ECONOMICO" sheetId="90" r:id="rId31"/>
    <sheet name="DESARROLLO SOCIAL" sheetId="91" r:id="rId32"/>
    <sheet name="casa de la cultura act" sheetId="92" r:id="rId33"/>
    <sheet name="infra" sheetId="93" r:id="rId34"/>
    <sheet name="VEHICULOS" sheetId="94" r:id="rId35"/>
    <sheet name="vehiculos sin revaluo" sheetId="95" r:id="rId36"/>
    <sheet name="TERRENOS" sheetId="96" r:id="rId37"/>
    <sheet name="vehiculos sin revaluo (2)" sheetId="97" r:id="rId38"/>
  </sheets>
  <definedNames>
    <definedName name="_xlnm.Print_Titles" localSheetId="18">'CATASTRO 2015 YA'!$1:$12</definedName>
    <definedName name="_xlnm.Print_Titles" localSheetId="17">'CE-MUJER YA 2015'!$1:$12</definedName>
    <definedName name="_xlnm.Print_Titles" localSheetId="9">'CÓMPUTO E INFORMÁTICA YA 2015'!$1:$12</definedName>
    <definedName name="_xlnm.Print_Titles" localSheetId="8">'COMUNICACIÓN SOCIAL YA 2015'!$1:$12</definedName>
    <definedName name="_xlnm.Print_Titles" localSheetId="19">'CULTURA DEL AGUA'!$1:$12</definedName>
    <definedName name="_xlnm.Print_Titles" localSheetId="10">'DEPORTES YA 2015'!$1:$12</definedName>
    <definedName name="_xlnm.Print_Titles" localSheetId="14">'DESARROLLO RURAL YA 2015'!$1:$12</definedName>
    <definedName name="_xlnm.Print_Titles" localSheetId="13">'ECOLOGÍA YA 2015'!$1:$12</definedName>
    <definedName name="_xlnm.Print_Titles" localSheetId="28">ELIMINAR!$1:$41</definedName>
    <definedName name="_xlnm.Print_Titles" localSheetId="2">'HACIENDA YA 2015'!$1:$12</definedName>
    <definedName name="_xlnm.Print_Titles" localSheetId="3">'INSTITUTO DE LA JUVENTUD'!$1:$12</definedName>
    <definedName name="_xlnm.Print_Titles" localSheetId="11">'JURÍDICO YA 2015'!$1:$12</definedName>
    <definedName name="_xlnm.Print_Titles" localSheetId="26">JUZGADO!$1:$12</definedName>
    <definedName name="_xlnm.Print_Titles" localSheetId="25">'JUZGADO SIN REVALÚO'!$1:$12</definedName>
    <definedName name="_xlnm.Print_Titles" localSheetId="16">'OBRAS PÚBLICAS YA 2015'!$1:$12</definedName>
    <definedName name="_xlnm.Print_Titles" localSheetId="4">'OFICIALÍA MAYOR YA 2015'!$1:$12</definedName>
    <definedName name="_xlnm.Print_Titles" localSheetId="7">'PARQUE VEHICULAR YA 2015'!$1:$12</definedName>
    <definedName name="_xlnm.Print_Titles" localSheetId="24">'PART. C'!$1:$12</definedName>
    <definedName name="_xlnm.Print_Titles" localSheetId="23">'PLANEACIÓN, PROGRAMACIÓN Y PRES'!$1:$12</definedName>
    <definedName name="_xlnm.Print_Titles" localSheetId="1">'PRESIDENCIA 2015 YA'!$1:$12</definedName>
    <definedName name="_xlnm.Print_Titles" localSheetId="12">'PROMOCIÓN ECONÓMICA YA 2015'!$1:$12</definedName>
    <definedName name="_xlnm.Print_Titles" localSheetId="15">'PROTECCIÓN CIVIL YA 2015'!$1:$12</definedName>
    <definedName name="_xlnm.Print_Titles" localSheetId="6">'RECLUTAMIENTO YA 2015'!$1:$12</definedName>
    <definedName name="_xlnm.Print_Titles" localSheetId="20">'REG. CIVIL 2015 YA'!$1:$12</definedName>
    <definedName name="_xlnm.Print_Titles" localSheetId="5">'SECRETARÍA YA 2015'!$1:$12</definedName>
    <definedName name="_xlnm.Print_Titles" localSheetId="21">'SERV. PÚB. 2015 YA'!$1:$12</definedName>
    <definedName name="_xlnm.Print_Titles" localSheetId="29">SÍNDICO!$1:$12</definedName>
    <definedName name="_xlnm.Print_Titles" localSheetId="22">'TRAILERS DE AYUDA'!$1:$12</definedName>
  </definedNames>
  <calcPr calcId="145621"/>
</workbook>
</file>

<file path=xl/calcChain.xml><?xml version="1.0" encoding="utf-8"?>
<calcChain xmlns="http://schemas.openxmlformats.org/spreadsheetml/2006/main">
  <c r="BF25" i="95" l="1"/>
  <c r="BG25" i="95"/>
  <c r="BH25" i="95"/>
  <c r="AY23" i="97"/>
  <c r="AA23" i="97"/>
  <c r="AC23" i="97" s="1"/>
  <c r="Y23" i="97"/>
  <c r="I23" i="97"/>
  <c r="C23" i="97"/>
  <c r="F23" i="97" s="1"/>
  <c r="BH22" i="97"/>
  <c r="AQ22" i="97"/>
  <c r="AY21" i="97"/>
  <c r="AA21" i="97"/>
  <c r="Y21" i="97"/>
  <c r="I21" i="97"/>
  <c r="C21" i="97"/>
  <c r="F21" i="97" s="1"/>
  <c r="AY20" i="97"/>
  <c r="Y20" i="97"/>
  <c r="AA20" i="97" s="1"/>
  <c r="I20" i="97"/>
  <c r="C20" i="97"/>
  <c r="F20" i="97" s="1"/>
  <c r="AY19" i="97"/>
  <c r="Y19" i="97"/>
  <c r="AA19" i="97" s="1"/>
  <c r="I19" i="97"/>
  <c r="G19" i="97"/>
  <c r="C19" i="97"/>
  <c r="F19" i="97" s="1"/>
  <c r="K19" i="97" s="1"/>
  <c r="AY18" i="97"/>
  <c r="Y18" i="97"/>
  <c r="AA18" i="97" s="1"/>
  <c r="I18" i="97"/>
  <c r="F18" i="97"/>
  <c r="C18" i="97"/>
  <c r="AY17" i="97"/>
  <c r="AA17" i="97"/>
  <c r="Y17" i="97"/>
  <c r="I17" i="97"/>
  <c r="C17" i="97"/>
  <c r="F17" i="97" s="1"/>
  <c r="AY16" i="97"/>
  <c r="AA16" i="97"/>
  <c r="Y16" i="97"/>
  <c r="I16" i="97"/>
  <c r="C16" i="97"/>
  <c r="F16" i="97" s="1"/>
  <c r="BF15" i="97"/>
  <c r="BE15" i="97"/>
  <c r="BD15" i="97"/>
  <c r="BC15" i="97"/>
  <c r="BB15" i="97"/>
  <c r="BA15" i="97"/>
  <c r="BG15" i="97" s="1"/>
  <c r="BH15" i="97" s="1"/>
  <c r="AY15" i="97"/>
  <c r="Y15" i="97"/>
  <c r="AA15" i="97" s="1"/>
  <c r="I15" i="97"/>
  <c r="C15" i="97"/>
  <c r="F15" i="97" s="1"/>
  <c r="AY14" i="97"/>
  <c r="Y14" i="97"/>
  <c r="AA14" i="97" s="1"/>
  <c r="I14" i="97"/>
  <c r="C14" i="97"/>
  <c r="F14" i="97" s="1"/>
  <c r="K14" i="97" s="1"/>
  <c r="BF12" i="97"/>
  <c r="BE12" i="97"/>
  <c r="BD12" i="97"/>
  <c r="BC12" i="97"/>
  <c r="BB12" i="97"/>
  <c r="BA12" i="97"/>
  <c r="AZ12" i="97"/>
  <c r="AV12" i="97"/>
  <c r="AU12" i="97"/>
  <c r="AT12" i="97"/>
  <c r="AS12" i="97"/>
  <c r="AR12" i="97"/>
  <c r="AP12" i="97"/>
  <c r="AO12" i="97"/>
  <c r="AN12" i="97"/>
  <c r="AM12" i="97"/>
  <c r="AL12" i="97"/>
  <c r="AK12" i="97"/>
  <c r="AJ12" i="97"/>
  <c r="AI12" i="97"/>
  <c r="AH12" i="97"/>
  <c r="T16" i="96"/>
  <c r="W15" i="96"/>
  <c r="X15" i="96" s="1"/>
  <c r="Y15" i="96" s="1"/>
  <c r="U15" i="96"/>
  <c r="AQ14" i="96"/>
  <c r="W14" i="96"/>
  <c r="X14" i="96" s="1"/>
  <c r="Y14" i="96" s="1"/>
  <c r="U14" i="96"/>
  <c r="W39" i="93"/>
  <c r="X39" i="93" s="1"/>
  <c r="Y39" i="93" s="1"/>
  <c r="AR39" i="93" s="1"/>
  <c r="W38" i="93"/>
  <c r="X38" i="93" s="1"/>
  <c r="Y38" i="93" s="1"/>
  <c r="AR38" i="93" s="1"/>
  <c r="W37" i="93"/>
  <c r="X37" i="93" s="1"/>
  <c r="Y37" i="93" s="1"/>
  <c r="AR37" i="93" s="1"/>
  <c r="V14" i="93"/>
  <c r="V15" i="93"/>
  <c r="V16" i="93"/>
  <c r="V17" i="93"/>
  <c r="V18" i="93"/>
  <c r="V20" i="93"/>
  <c r="V21" i="93"/>
  <c r="V22" i="93"/>
  <c r="V23" i="93"/>
  <c r="V24" i="93"/>
  <c r="V25" i="93"/>
  <c r="V26" i="93"/>
  <c r="V27" i="93"/>
  <c r="V28" i="93"/>
  <c r="V29" i="93"/>
  <c r="V30" i="93"/>
  <c r="V31" i="93"/>
  <c r="V32" i="93"/>
  <c r="V33" i="93"/>
  <c r="V34" i="93"/>
  <c r="V35" i="93"/>
  <c r="V36" i="93"/>
  <c r="V40" i="93"/>
  <c r="V43" i="93"/>
  <c r="V44" i="93"/>
  <c r="V45" i="93"/>
  <c r="V46" i="93"/>
  <c r="U39" i="93"/>
  <c r="U38" i="93"/>
  <c r="U37" i="93"/>
  <c r="U25" i="93"/>
  <c r="U24" i="93"/>
  <c r="AN19" i="88"/>
  <c r="AO19" i="88"/>
  <c r="AP19" i="88"/>
  <c r="AS25" i="83"/>
  <c r="AB25" i="92"/>
  <c r="X25" i="92"/>
  <c r="G25" i="92"/>
  <c r="H25" i="92" s="1"/>
  <c r="AB20" i="92"/>
  <c r="T20" i="92"/>
  <c r="J20" i="92"/>
  <c r="G20" i="92"/>
  <c r="AB57" i="92"/>
  <c r="G57" i="92"/>
  <c r="AN16" i="91"/>
  <c r="AO16" i="91"/>
  <c r="AN19" i="90"/>
  <c r="AO19" i="90"/>
  <c r="AP19" i="90"/>
  <c r="AP19" i="87"/>
  <c r="AO19" i="87"/>
  <c r="AN19" i="87"/>
  <c r="AR34" i="80"/>
  <c r="AR33" i="80"/>
  <c r="AO40" i="73"/>
  <c r="AO39" i="73"/>
  <c r="AN32" i="63"/>
  <c r="AN31" i="63"/>
  <c r="AN32" i="66"/>
  <c r="AN31" i="66"/>
  <c r="AN46" i="61"/>
  <c r="AN45" i="61"/>
  <c r="AN55" i="62"/>
  <c r="AN54" i="62"/>
  <c r="AN15" i="89"/>
  <c r="AN42" i="60"/>
  <c r="AO15" i="60"/>
  <c r="AN76" i="57"/>
  <c r="AN73" i="57"/>
  <c r="AO37" i="57"/>
  <c r="AO34" i="57"/>
  <c r="AO31" i="57"/>
  <c r="AO30" i="57"/>
  <c r="AO29" i="57"/>
  <c r="AO26" i="57"/>
  <c r="AO20" i="57"/>
  <c r="AO15" i="57"/>
  <c r="AO17" i="57"/>
  <c r="V25" i="83"/>
  <c r="Z30" i="82"/>
  <c r="AQ30" i="82"/>
  <c r="AQ27" i="80"/>
  <c r="AR27" i="80"/>
  <c r="AS27" i="80"/>
  <c r="AL38" i="79"/>
  <c r="AM38" i="79"/>
  <c r="AN38" i="79"/>
  <c r="AL42" i="78"/>
  <c r="AM42" i="78"/>
  <c r="AN42" i="78"/>
  <c r="AQ69" i="76"/>
  <c r="AP33" i="74"/>
  <c r="AQ33" i="74"/>
  <c r="AR33" i="74"/>
  <c r="AR29" i="70"/>
  <c r="AP29" i="70"/>
  <c r="AQ29" i="70"/>
  <c r="AP46" i="69"/>
  <c r="AQ46" i="69"/>
  <c r="AR46" i="69"/>
  <c r="AN26" i="63"/>
  <c r="AO26" i="63"/>
  <c r="AP26" i="63"/>
  <c r="AN25" i="66"/>
  <c r="AO25" i="66"/>
  <c r="AP25" i="66"/>
  <c r="AN29" i="65"/>
  <c r="AO29" i="65"/>
  <c r="AP29" i="65"/>
  <c r="AN19" i="64"/>
  <c r="AO19" i="64"/>
  <c r="AN39" i="61"/>
  <c r="AO39" i="61"/>
  <c r="AP19" i="64"/>
  <c r="AP39" i="61"/>
  <c r="AP49" i="62"/>
  <c r="AN49" i="62"/>
  <c r="AO49" i="62"/>
  <c r="AS19" i="86"/>
  <c r="AQ19" i="86"/>
  <c r="AR19" i="86"/>
  <c r="AS18" i="86"/>
  <c r="AN71" i="57"/>
  <c r="O14" i="97" l="1"/>
  <c r="J14" i="97"/>
  <c r="O19" i="97"/>
  <c r="N19" i="97" s="1"/>
  <c r="J19" i="97"/>
  <c r="G14" i="97"/>
  <c r="K16" i="97"/>
  <c r="G16" i="97"/>
  <c r="K18" i="97"/>
  <c r="G18" i="97"/>
  <c r="K20" i="97"/>
  <c r="G20" i="97"/>
  <c r="BC23" i="97"/>
  <c r="AV23" i="97"/>
  <c r="AR23" i="97"/>
  <c r="AN23" i="97"/>
  <c r="AJ23" i="97"/>
  <c r="AO23" i="97"/>
  <c r="BF23" i="97"/>
  <c r="BB23" i="97"/>
  <c r="AU23" i="97"/>
  <c r="AM23" i="97"/>
  <c r="AI23" i="97"/>
  <c r="BD23" i="97"/>
  <c r="AS23" i="97"/>
  <c r="BE23" i="97"/>
  <c r="BA23" i="97"/>
  <c r="AT23" i="97"/>
  <c r="AL23" i="97"/>
  <c r="AK23" i="97"/>
  <c r="V19" i="97"/>
  <c r="L19" i="97"/>
  <c r="H19" i="97"/>
  <c r="T19" i="97" s="1"/>
  <c r="K15" i="97"/>
  <c r="G15" i="97"/>
  <c r="K17" i="97"/>
  <c r="G17" i="97"/>
  <c r="K21" i="97"/>
  <c r="G21" i="97"/>
  <c r="K23" i="97"/>
  <c r="G23" i="97"/>
  <c r="AR14" i="96"/>
  <c r="AC14" i="96"/>
  <c r="AD14" i="96" s="1"/>
  <c r="AC15" i="96"/>
  <c r="AD15" i="96" s="1"/>
  <c r="AP15" i="96" s="1"/>
  <c r="M25" i="92"/>
  <c r="I25" i="92"/>
  <c r="U25" i="92" s="1"/>
  <c r="L25" i="92"/>
  <c r="L20" i="92"/>
  <c r="P20" i="92" s="1"/>
  <c r="H20" i="92"/>
  <c r="L57" i="92"/>
  <c r="H57" i="92"/>
  <c r="AO71" i="57"/>
  <c r="AH12" i="95"/>
  <c r="AI12" i="95"/>
  <c r="AJ12" i="95"/>
  <c r="AK12" i="95"/>
  <c r="AL12" i="95"/>
  <c r="AM12" i="95"/>
  <c r="AN12" i="95"/>
  <c r="AO12" i="95"/>
  <c r="AP12" i="95"/>
  <c r="AR12" i="95"/>
  <c r="AS12" i="95"/>
  <c r="AT12" i="95"/>
  <c r="AU12" i="95"/>
  <c r="AV12" i="95"/>
  <c r="AZ12" i="95"/>
  <c r="BA12" i="95"/>
  <c r="BB12" i="95"/>
  <c r="BC12" i="95"/>
  <c r="BD12" i="95"/>
  <c r="BE12" i="95"/>
  <c r="BF12" i="95"/>
  <c r="C20" i="95"/>
  <c r="F20" i="95"/>
  <c r="G20" i="95" s="1"/>
  <c r="I20" i="95"/>
  <c r="Y20" i="95"/>
  <c r="AA20" i="95" s="1"/>
  <c r="AY20" i="95"/>
  <c r="C17" i="95"/>
  <c r="F17" i="95"/>
  <c r="G17" i="95" s="1"/>
  <c r="I17" i="95"/>
  <c r="Y17" i="95"/>
  <c r="AA17" i="95" s="1"/>
  <c r="AY17" i="95"/>
  <c r="BA17" i="95"/>
  <c r="BB17" i="95"/>
  <c r="BC17" i="95"/>
  <c r="BD17" i="95"/>
  <c r="BE17" i="95"/>
  <c r="BF17" i="95"/>
  <c r="C19" i="95"/>
  <c r="F19" i="95" s="1"/>
  <c r="I19" i="95"/>
  <c r="Y19" i="95"/>
  <c r="AA19" i="95"/>
  <c r="AY19" i="95"/>
  <c r="C16" i="95"/>
  <c r="F16" i="95" s="1"/>
  <c r="I16" i="95"/>
  <c r="Y16" i="95"/>
  <c r="AA16" i="95"/>
  <c r="AY16" i="95"/>
  <c r="C21" i="95"/>
  <c r="F21" i="95"/>
  <c r="G21" i="95" s="1"/>
  <c r="I21" i="95"/>
  <c r="Y21" i="95"/>
  <c r="AA21" i="95" s="1"/>
  <c r="AY21" i="95"/>
  <c r="C18" i="95"/>
  <c r="F18" i="95"/>
  <c r="G18" i="95" s="1"/>
  <c r="I18" i="95"/>
  <c r="Y18" i="95"/>
  <c r="AA18" i="95" s="1"/>
  <c r="AY18" i="95"/>
  <c r="C14" i="95"/>
  <c r="F14" i="95"/>
  <c r="G14" i="95" s="1"/>
  <c r="I14" i="95"/>
  <c r="Y14" i="95"/>
  <c r="AA14" i="95" s="1"/>
  <c r="AY14" i="95"/>
  <c r="C15" i="95"/>
  <c r="F15" i="95"/>
  <c r="G15" i="95" s="1"/>
  <c r="I15" i="95"/>
  <c r="Y15" i="95"/>
  <c r="AA15" i="95" s="1"/>
  <c r="AY15" i="95"/>
  <c r="AQ22" i="95"/>
  <c r="BH22" i="95"/>
  <c r="C23" i="95"/>
  <c r="F23" i="95"/>
  <c r="G23" i="95" s="1"/>
  <c r="I23" i="95"/>
  <c r="Y23" i="95"/>
  <c r="AA23" i="95"/>
  <c r="AC23" i="95" s="1"/>
  <c r="AY23" i="95"/>
  <c r="H16" i="94"/>
  <c r="K16" i="94" s="1"/>
  <c r="L16" i="94" s="1"/>
  <c r="I16" i="94"/>
  <c r="O16" i="94"/>
  <c r="Q16" i="94"/>
  <c r="S16" i="94"/>
  <c r="AB16" i="94"/>
  <c r="H17" i="94"/>
  <c r="K17" i="94" s="1"/>
  <c r="L17" i="94" s="1"/>
  <c r="I17" i="94"/>
  <c r="O17" i="94"/>
  <c r="Q17" i="94"/>
  <c r="S17" i="94"/>
  <c r="AB17" i="94"/>
  <c r="H22" i="94"/>
  <c r="K22" i="94" s="1"/>
  <c r="L22" i="94" s="1"/>
  <c r="I22" i="94"/>
  <c r="O22" i="94"/>
  <c r="Q22" i="94"/>
  <c r="S22" i="94"/>
  <c r="AB22" i="94"/>
  <c r="H19" i="94"/>
  <c r="K19" i="94" s="1"/>
  <c r="L19" i="94" s="1"/>
  <c r="I19" i="94"/>
  <c r="O19" i="94"/>
  <c r="Q19" i="94"/>
  <c r="S19" i="94"/>
  <c r="AB19" i="94"/>
  <c r="H21" i="94"/>
  <c r="K21" i="94" s="1"/>
  <c r="L21" i="94" s="1"/>
  <c r="I21" i="94"/>
  <c r="O21" i="94"/>
  <c r="Q21" i="94"/>
  <c r="S21" i="94"/>
  <c r="AB21" i="94"/>
  <c r="H25" i="94"/>
  <c r="K25" i="94" s="1"/>
  <c r="L25" i="94" s="1"/>
  <c r="I25" i="94"/>
  <c r="O25" i="94"/>
  <c r="Q25" i="94"/>
  <c r="S25" i="94"/>
  <c r="AB25" i="94"/>
  <c r="H23" i="94"/>
  <c r="K23" i="94" s="1"/>
  <c r="L23" i="94" s="1"/>
  <c r="I23" i="94"/>
  <c r="O23" i="94"/>
  <c r="Q23" i="94"/>
  <c r="S23" i="94"/>
  <c r="AB23" i="94"/>
  <c r="Y24" i="94"/>
  <c r="AB24" i="94"/>
  <c r="AD24" i="94" s="1"/>
  <c r="H20" i="94"/>
  <c r="K20" i="94" s="1"/>
  <c r="L20" i="94" s="1"/>
  <c r="I20" i="94"/>
  <c r="O20" i="94"/>
  <c r="Q20" i="94"/>
  <c r="S20" i="94"/>
  <c r="AB20" i="94"/>
  <c r="H26" i="94"/>
  <c r="I26" i="94"/>
  <c r="O26" i="94"/>
  <c r="Q26" i="94"/>
  <c r="S26" i="94"/>
  <c r="AB26" i="94"/>
  <c r="G15" i="93"/>
  <c r="H15" i="93" s="1"/>
  <c r="J15" i="93"/>
  <c r="AB15" i="93"/>
  <c r="G16" i="93"/>
  <c r="H16" i="93" s="1"/>
  <c r="J16" i="93"/>
  <c r="AB16" i="93"/>
  <c r="G17" i="93"/>
  <c r="H17" i="93" s="1"/>
  <c r="J17" i="93"/>
  <c r="AB17" i="93"/>
  <c r="G18" i="93"/>
  <c r="H18" i="93" s="1"/>
  <c r="J18" i="93"/>
  <c r="AB18" i="93"/>
  <c r="G19" i="93"/>
  <c r="H19" i="93" s="1"/>
  <c r="J19" i="93"/>
  <c r="AB19" i="93"/>
  <c r="G20" i="93"/>
  <c r="H20" i="93" s="1"/>
  <c r="J20" i="93"/>
  <c r="AB20" i="93"/>
  <c r="G21" i="93"/>
  <c r="H21" i="93" s="1"/>
  <c r="J21" i="93"/>
  <c r="AB21" i="93"/>
  <c r="G22" i="93"/>
  <c r="H22" i="93" s="1"/>
  <c r="J22" i="93"/>
  <c r="AB22" i="93"/>
  <c r="G23" i="93"/>
  <c r="H23" i="93" s="1"/>
  <c r="J23" i="93"/>
  <c r="AB23" i="93"/>
  <c r="G24" i="93"/>
  <c r="L24" i="93" s="1"/>
  <c r="Y24" i="93"/>
  <c r="G25" i="93"/>
  <c r="H25" i="93" s="1"/>
  <c r="Y25" i="93"/>
  <c r="G26" i="93"/>
  <c r="H26" i="93" s="1"/>
  <c r="W26" i="93" s="1"/>
  <c r="J26" i="93"/>
  <c r="AB26" i="93"/>
  <c r="G27" i="93"/>
  <c r="H27" i="93" s="1"/>
  <c r="J27" i="93"/>
  <c r="AB27" i="93"/>
  <c r="G28" i="93"/>
  <c r="H28" i="93" s="1"/>
  <c r="J28" i="93"/>
  <c r="AB28" i="93"/>
  <c r="G30" i="93"/>
  <c r="J30" i="93"/>
  <c r="AB30" i="93"/>
  <c r="G31" i="93"/>
  <c r="H31" i="93" s="1"/>
  <c r="J31" i="93"/>
  <c r="AB31" i="93"/>
  <c r="G32" i="93"/>
  <c r="H32" i="93" s="1"/>
  <c r="J32" i="93"/>
  <c r="AB32" i="93"/>
  <c r="G29" i="93"/>
  <c r="L29" i="93" s="1"/>
  <c r="J29" i="93"/>
  <c r="AB29" i="93"/>
  <c r="G34" i="93"/>
  <c r="H34" i="93" s="1"/>
  <c r="J34" i="93"/>
  <c r="AB34" i="93"/>
  <c r="G35" i="93"/>
  <c r="J35" i="93"/>
  <c r="AB35" i="93"/>
  <c r="G36" i="93"/>
  <c r="H36" i="93" s="1"/>
  <c r="W36" i="93" s="1"/>
  <c r="X36" i="93" s="1"/>
  <c r="J36" i="93"/>
  <c r="L36" i="93" s="1"/>
  <c r="AB36" i="93"/>
  <c r="G33" i="93"/>
  <c r="H33" i="93" s="1"/>
  <c r="J33" i="93"/>
  <c r="AB33" i="93"/>
  <c r="G40" i="93"/>
  <c r="H40" i="93" s="1"/>
  <c r="W40" i="93" s="1"/>
  <c r="X40" i="93" s="1"/>
  <c r="J40" i="93"/>
  <c r="AB40" i="93"/>
  <c r="G41" i="93"/>
  <c r="J41" i="93"/>
  <c r="AB41" i="93"/>
  <c r="G42" i="93"/>
  <c r="H42" i="93" s="1"/>
  <c r="J42" i="93"/>
  <c r="T42" i="93"/>
  <c r="AB42" i="93"/>
  <c r="G43" i="93"/>
  <c r="J43" i="93"/>
  <c r="AB43" i="93"/>
  <c r="G44" i="93"/>
  <c r="J44" i="93"/>
  <c r="AB44" i="93"/>
  <c r="G14" i="93"/>
  <c r="J14" i="93"/>
  <c r="AB14" i="93"/>
  <c r="G45" i="93"/>
  <c r="J45" i="93"/>
  <c r="AB45" i="93"/>
  <c r="G46" i="93"/>
  <c r="J46" i="93"/>
  <c r="AB46" i="93"/>
  <c r="G15" i="92"/>
  <c r="H15" i="92" s="1"/>
  <c r="M15" i="92" s="1"/>
  <c r="J15" i="92"/>
  <c r="AB15" i="92"/>
  <c r="G18" i="92"/>
  <c r="H18" i="92" s="1"/>
  <c r="J18" i="92"/>
  <c r="T18" i="92"/>
  <c r="AB18" i="92"/>
  <c r="G19" i="92"/>
  <c r="H19" i="92" s="1"/>
  <c r="J19" i="92"/>
  <c r="AB19" i="92"/>
  <c r="G22" i="92"/>
  <c r="H22" i="92" s="1"/>
  <c r="W22" i="92" s="1"/>
  <c r="X22" i="92" s="1"/>
  <c r="J22" i="92"/>
  <c r="AB22" i="92"/>
  <c r="G28" i="92"/>
  <c r="H28" i="92" s="1"/>
  <c r="J28" i="92"/>
  <c r="T28" i="92"/>
  <c r="AB28" i="92"/>
  <c r="G29" i="92"/>
  <c r="H29" i="92" s="1"/>
  <c r="J29" i="92"/>
  <c r="AB29" i="92"/>
  <c r="G30" i="92"/>
  <c r="H30" i="92" s="1"/>
  <c r="J30" i="92"/>
  <c r="AB30" i="92"/>
  <c r="G31" i="92"/>
  <c r="H31" i="92" s="1"/>
  <c r="W31" i="92" s="1"/>
  <c r="X31" i="92" s="1"/>
  <c r="J31" i="92"/>
  <c r="AB31" i="92"/>
  <c r="G34" i="92"/>
  <c r="H34" i="92" s="1"/>
  <c r="J34" i="92"/>
  <c r="AB34" i="92"/>
  <c r="G37" i="92"/>
  <c r="H37" i="92" s="1"/>
  <c r="J37" i="92"/>
  <c r="AB37" i="92"/>
  <c r="G38" i="92"/>
  <c r="H38" i="92" s="1"/>
  <c r="J38" i="92"/>
  <c r="T38" i="92"/>
  <c r="AB38" i="92"/>
  <c r="G41" i="92"/>
  <c r="J41" i="92"/>
  <c r="AB41" i="92"/>
  <c r="G42" i="92"/>
  <c r="H42" i="92" s="1"/>
  <c r="W42" i="92" s="1"/>
  <c r="X42" i="92" s="1"/>
  <c r="J42" i="92"/>
  <c r="AB42" i="92"/>
  <c r="G45" i="92"/>
  <c r="J45" i="92"/>
  <c r="AB45" i="92"/>
  <c r="H48" i="92"/>
  <c r="J48" i="92"/>
  <c r="L48" i="92" s="1"/>
  <c r="AB48" i="92"/>
  <c r="AP48" i="92"/>
  <c r="AQ48" i="92"/>
  <c r="AR48" i="92" s="1"/>
  <c r="G51" i="92"/>
  <c r="H51" i="92" s="1"/>
  <c r="J51" i="92"/>
  <c r="AB51" i="92"/>
  <c r="G54" i="92"/>
  <c r="H54" i="92" s="1"/>
  <c r="J54" i="92"/>
  <c r="X54" i="92"/>
  <c r="Y54" i="92" s="1"/>
  <c r="AB54" i="92"/>
  <c r="G60" i="92"/>
  <c r="H60" i="92" s="1"/>
  <c r="J60" i="92"/>
  <c r="L60" i="92" s="1"/>
  <c r="T60" i="92"/>
  <c r="AB60" i="92"/>
  <c r="G61" i="92"/>
  <c r="H61" i="92" s="1"/>
  <c r="J61" i="92"/>
  <c r="AB61" i="92"/>
  <c r="G62" i="92"/>
  <c r="H62" i="92" s="1"/>
  <c r="J62" i="92"/>
  <c r="AB62" i="92"/>
  <c r="G63" i="92"/>
  <c r="H63" i="92" s="1"/>
  <c r="W63" i="92" s="1"/>
  <c r="X63" i="92" s="1"/>
  <c r="J63" i="92"/>
  <c r="AB63" i="92"/>
  <c r="G64" i="92"/>
  <c r="J64" i="92"/>
  <c r="AB64" i="92"/>
  <c r="G65" i="92"/>
  <c r="J65" i="92"/>
  <c r="AB65" i="92"/>
  <c r="G68" i="92"/>
  <c r="J68" i="92"/>
  <c r="T68" i="92"/>
  <c r="AB68" i="92"/>
  <c r="G71" i="92"/>
  <c r="H71" i="92" s="1"/>
  <c r="J71" i="92"/>
  <c r="AB71" i="92"/>
  <c r="G21" i="92"/>
  <c r="H21" i="92" s="1"/>
  <c r="J21" i="92"/>
  <c r="N21" i="92"/>
  <c r="T21" i="92"/>
  <c r="AB21" i="92"/>
  <c r="G74" i="92"/>
  <c r="H74" i="92"/>
  <c r="J74" i="92"/>
  <c r="L74" i="92" s="1"/>
  <c r="N74" i="92"/>
  <c r="AB74" i="92"/>
  <c r="AH75" i="92"/>
  <c r="AI75" i="92"/>
  <c r="BG17" i="95" l="1"/>
  <c r="BH17" i="95" s="1"/>
  <c r="P22" i="94"/>
  <c r="J25" i="94"/>
  <c r="P20" i="94"/>
  <c r="AG24" i="94"/>
  <c r="R22" i="94"/>
  <c r="T22" i="94" s="1"/>
  <c r="P23" i="94"/>
  <c r="P21" i="94"/>
  <c r="P19" i="94"/>
  <c r="P16" i="94"/>
  <c r="R26" i="94"/>
  <c r="V26" i="94" s="1"/>
  <c r="R23" i="94"/>
  <c r="T23" i="94" s="1"/>
  <c r="J17" i="94"/>
  <c r="R20" i="94"/>
  <c r="AC20" i="94" s="1"/>
  <c r="J20" i="94"/>
  <c r="AF24" i="94"/>
  <c r="R21" i="94"/>
  <c r="AI21" i="94" s="1"/>
  <c r="AS21" i="94" s="1"/>
  <c r="R17" i="94"/>
  <c r="R16" i="94"/>
  <c r="AE16" i="94" s="1"/>
  <c r="AE24" i="94"/>
  <c r="R19" i="94"/>
  <c r="U19" i="94" s="1"/>
  <c r="J22" i="94"/>
  <c r="J26" i="94"/>
  <c r="AI24" i="94"/>
  <c r="AC24" i="94"/>
  <c r="AJ24" i="94" s="1"/>
  <c r="AK24" i="94" s="1"/>
  <c r="R25" i="94"/>
  <c r="U25" i="94" s="1"/>
  <c r="J21" i="94"/>
  <c r="J23" i="94"/>
  <c r="P25" i="94"/>
  <c r="J19" i="94"/>
  <c r="J16" i="94"/>
  <c r="O23" i="97"/>
  <c r="N23" i="97" s="1"/>
  <c r="J23" i="97"/>
  <c r="O17" i="97"/>
  <c r="N17" i="97" s="1"/>
  <c r="J17" i="97"/>
  <c r="V20" i="97"/>
  <c r="H20" i="97"/>
  <c r="T20" i="97" s="1"/>
  <c r="L20" i="97"/>
  <c r="L16" i="97"/>
  <c r="H16" i="97"/>
  <c r="T16" i="97" s="1"/>
  <c r="V16" i="97"/>
  <c r="L23" i="97"/>
  <c r="H23" i="97"/>
  <c r="T23" i="97" s="1"/>
  <c r="V23" i="97"/>
  <c r="U23" i="97" s="1"/>
  <c r="W23" i="97" s="1"/>
  <c r="J18" i="97"/>
  <c r="O18" i="97"/>
  <c r="N18" i="97" s="1"/>
  <c r="L21" i="97"/>
  <c r="H21" i="97"/>
  <c r="T21" i="97" s="1"/>
  <c r="V21" i="97"/>
  <c r="V15" i="97"/>
  <c r="L15" i="97"/>
  <c r="H15" i="97"/>
  <c r="T15" i="97" s="1"/>
  <c r="W19" i="97"/>
  <c r="U19" i="97"/>
  <c r="X19" i="97" s="1"/>
  <c r="AZ19" i="97"/>
  <c r="AP23" i="97"/>
  <c r="AQ23" i="97" s="1"/>
  <c r="BH23" i="97" s="1"/>
  <c r="BG23" i="97"/>
  <c r="O20" i="97"/>
  <c r="N20" i="97" s="1"/>
  <c r="J20" i="97"/>
  <c r="O16" i="97"/>
  <c r="N16" i="97" s="1"/>
  <c r="J16" i="97"/>
  <c r="L17" i="97"/>
  <c r="H17" i="97"/>
  <c r="T17" i="97" s="1"/>
  <c r="V17" i="97"/>
  <c r="O21" i="97"/>
  <c r="N21" i="97" s="1"/>
  <c r="J21" i="97"/>
  <c r="O15" i="97"/>
  <c r="N15" i="97" s="1"/>
  <c r="J15" i="97"/>
  <c r="V18" i="97"/>
  <c r="L18" i="97"/>
  <c r="H18" i="97"/>
  <c r="T18" i="97" s="1"/>
  <c r="V14" i="97"/>
  <c r="L14" i="97"/>
  <c r="H14" i="97"/>
  <c r="T14" i="97" s="1"/>
  <c r="N14" i="97"/>
  <c r="T75" i="92"/>
  <c r="P74" i="92"/>
  <c r="L15" i="92"/>
  <c r="L71" i="92"/>
  <c r="P71" i="92" s="1"/>
  <c r="O71" i="92" s="1"/>
  <c r="L62" i="92"/>
  <c r="L64" i="92"/>
  <c r="K48" i="92"/>
  <c r="W33" i="93"/>
  <c r="X33" i="93" s="1"/>
  <c r="Y33" i="93" s="1"/>
  <c r="W42" i="93"/>
  <c r="X42" i="93" s="1"/>
  <c r="V42" i="93"/>
  <c r="T47" i="93"/>
  <c r="L33" i="93"/>
  <c r="W31" i="93"/>
  <c r="X31" i="93" s="1"/>
  <c r="Y31" i="93" s="1"/>
  <c r="X32" i="93"/>
  <c r="Y32" i="93" s="1"/>
  <c r="W32" i="93"/>
  <c r="I27" i="93"/>
  <c r="U27" i="93" s="1"/>
  <c r="W27" i="93"/>
  <c r="I28" i="93"/>
  <c r="U28" i="93" s="1"/>
  <c r="W28" i="93"/>
  <c r="I34" i="93"/>
  <c r="U34" i="93" s="1"/>
  <c r="W34" i="93"/>
  <c r="X34" i="93" s="1"/>
  <c r="Y34" i="93" s="1"/>
  <c r="AQ15" i="96"/>
  <c r="L41" i="93"/>
  <c r="L34" i="93"/>
  <c r="K29" i="93"/>
  <c r="H29" i="93"/>
  <c r="L31" i="93"/>
  <c r="P31" i="93" s="1"/>
  <c r="O31" i="93" s="1"/>
  <c r="I36" i="93"/>
  <c r="U36" i="93" s="1"/>
  <c r="L35" i="93"/>
  <c r="P35" i="93" s="1"/>
  <c r="O35" i="93" s="1"/>
  <c r="L30" i="93"/>
  <c r="H41" i="93"/>
  <c r="W41" i="93" s="1"/>
  <c r="X41" i="93" s="1"/>
  <c r="K33" i="93"/>
  <c r="H35" i="93"/>
  <c r="H30" i="93"/>
  <c r="W30" i="93" s="1"/>
  <c r="L28" i="93"/>
  <c r="K28" i="93" s="1"/>
  <c r="I40" i="93"/>
  <c r="U40" i="93" s="1"/>
  <c r="Y40" i="93"/>
  <c r="Y36" i="93"/>
  <c r="L32" i="93"/>
  <c r="P32" i="93" s="1"/>
  <c r="O32" i="93" s="1"/>
  <c r="X28" i="93"/>
  <c r="Y28" i="93" s="1"/>
  <c r="L27" i="93"/>
  <c r="L40" i="93"/>
  <c r="X27" i="93"/>
  <c r="Y27" i="93" s="1"/>
  <c r="L42" i="93"/>
  <c r="K30" i="93"/>
  <c r="P25" i="92"/>
  <c r="O25" i="92" s="1"/>
  <c r="K25" i="92"/>
  <c r="AC25" i="92" s="1"/>
  <c r="AD25" i="92" s="1"/>
  <c r="L42" i="92"/>
  <c r="P42" i="92" s="1"/>
  <c r="L31" i="92"/>
  <c r="K62" i="92"/>
  <c r="I15" i="92"/>
  <c r="U15" i="92" s="1"/>
  <c r="V15" i="92" s="1"/>
  <c r="L68" i="92"/>
  <c r="P68" i="92" s="1"/>
  <c r="M20" i="92"/>
  <c r="I20" i="92"/>
  <c r="U20" i="92" s="1"/>
  <c r="V20" i="92" s="1"/>
  <c r="W20" i="92"/>
  <c r="X20" i="92" s="1"/>
  <c r="K20" i="92"/>
  <c r="O20" i="92"/>
  <c r="W71" i="92"/>
  <c r="X71" i="92" s="1"/>
  <c r="I71" i="92"/>
  <c r="U71" i="92" s="1"/>
  <c r="V71" i="92" s="1"/>
  <c r="Y71" i="92" s="1"/>
  <c r="M71" i="92"/>
  <c r="O74" i="92"/>
  <c r="W21" i="92"/>
  <c r="X21" i="92" s="1"/>
  <c r="H68" i="92"/>
  <c r="I68" i="92" s="1"/>
  <c r="U68" i="92" s="1"/>
  <c r="I34" i="92"/>
  <c r="U34" i="92" s="1"/>
  <c r="V34" i="92" s="1"/>
  <c r="L22" i="92"/>
  <c r="I21" i="92"/>
  <c r="U21" i="92" s="1"/>
  <c r="V21" i="92" s="1"/>
  <c r="Y21" i="92" s="1"/>
  <c r="H64" i="92"/>
  <c r="M64" i="92" s="1"/>
  <c r="L30" i="92"/>
  <c r="K57" i="92"/>
  <c r="M21" i="92"/>
  <c r="I62" i="92"/>
  <c r="U62" i="92" s="1"/>
  <c r="V62" i="92" s="1"/>
  <c r="I74" i="92"/>
  <c r="U74" i="92" s="1"/>
  <c r="V74" i="92" s="1"/>
  <c r="M74" i="92"/>
  <c r="I48" i="92"/>
  <c r="W15" i="92"/>
  <c r="X15" i="92" s="1"/>
  <c r="L38" i="92"/>
  <c r="P57" i="92"/>
  <c r="O57" i="92" s="1"/>
  <c r="X57" i="92"/>
  <c r="M57" i="92"/>
  <c r="I57" i="92"/>
  <c r="U57" i="92" s="1"/>
  <c r="I30" i="92"/>
  <c r="U30" i="92" s="1"/>
  <c r="V30" i="92" s="1"/>
  <c r="W30" i="92"/>
  <c r="X30" i="92" s="1"/>
  <c r="I37" i="92"/>
  <c r="U37" i="92" s="1"/>
  <c r="V37" i="92" s="1"/>
  <c r="W37" i="92"/>
  <c r="X37" i="92" s="1"/>
  <c r="I29" i="92"/>
  <c r="U29" i="92" s="1"/>
  <c r="V29" i="92" s="1"/>
  <c r="W29" i="92"/>
  <c r="X29" i="92" s="1"/>
  <c r="L34" i="92"/>
  <c r="K34" i="92" s="1"/>
  <c r="O42" i="92"/>
  <c r="I31" i="92"/>
  <c r="U31" i="92" s="1"/>
  <c r="V31" i="92" s="1"/>
  <c r="Y31" i="92" s="1"/>
  <c r="I22" i="92"/>
  <c r="U22" i="92" s="1"/>
  <c r="V22" i="92" s="1"/>
  <c r="Y22" i="92" s="1"/>
  <c r="L37" i="92"/>
  <c r="P37" i="92" s="1"/>
  <c r="O37" i="92" s="1"/>
  <c r="W34" i="92"/>
  <c r="X34" i="92" s="1"/>
  <c r="L29" i="92"/>
  <c r="H23" i="95"/>
  <c r="T23" i="95" s="1"/>
  <c r="L23" i="95"/>
  <c r="V23" i="95"/>
  <c r="U23" i="95" s="1"/>
  <c r="W23" i="95" s="1"/>
  <c r="H14" i="95"/>
  <c r="T14" i="95" s="1"/>
  <c r="L14" i="95"/>
  <c r="V14" i="95"/>
  <c r="G16" i="95"/>
  <c r="K16" i="95"/>
  <c r="H17" i="95"/>
  <c r="T17" i="95" s="1"/>
  <c r="L17" i="95"/>
  <c r="V17" i="95"/>
  <c r="AI23" i="95"/>
  <c r="AM23" i="95"/>
  <c r="AU23" i="95"/>
  <c r="BB23" i="95"/>
  <c r="BF23" i="95"/>
  <c r="AJ23" i="95"/>
  <c r="AN23" i="95"/>
  <c r="AR23" i="95"/>
  <c r="AV23" i="95"/>
  <c r="BC23" i="95"/>
  <c r="AK23" i="95"/>
  <c r="AO23" i="95"/>
  <c r="AS23" i="95"/>
  <c r="BD23" i="95"/>
  <c r="AL23" i="95"/>
  <c r="AT23" i="95"/>
  <c r="BA23" i="95"/>
  <c r="BE23" i="95"/>
  <c r="H18" i="95"/>
  <c r="T18" i="95" s="1"/>
  <c r="L18" i="95"/>
  <c r="V18" i="95"/>
  <c r="G19" i="95"/>
  <c r="K19" i="95"/>
  <c r="H20" i="95"/>
  <c r="T20" i="95" s="1"/>
  <c r="L20" i="95"/>
  <c r="V20" i="95"/>
  <c r="H21" i="95"/>
  <c r="T21" i="95" s="1"/>
  <c r="L21" i="95"/>
  <c r="V21" i="95"/>
  <c r="H15" i="95"/>
  <c r="T15" i="95" s="1"/>
  <c r="L15" i="95"/>
  <c r="V15" i="95"/>
  <c r="K14" i="95"/>
  <c r="K21" i="95"/>
  <c r="K20" i="95"/>
  <c r="K23" i="95"/>
  <c r="K15" i="95"/>
  <c r="K18" i="95"/>
  <c r="K17" i="95"/>
  <c r="W20" i="94"/>
  <c r="T20" i="94"/>
  <c r="U20" i="94"/>
  <c r="W23" i="94"/>
  <c r="AG23" i="94"/>
  <c r="K26" i="94"/>
  <c r="L26" i="94" s="1"/>
  <c r="P26" i="94" s="1"/>
  <c r="T17" i="94"/>
  <c r="X17" i="94"/>
  <c r="AD17" i="94"/>
  <c r="AH17" i="94"/>
  <c r="U17" i="94"/>
  <c r="AE17" i="94"/>
  <c r="AI17" i="94"/>
  <c r="AS17" i="94" s="1"/>
  <c r="V17" i="94"/>
  <c r="AF17" i="94"/>
  <c r="P17" i="94"/>
  <c r="U16" i="94"/>
  <c r="T25" i="94"/>
  <c r="X25" i="94"/>
  <c r="AD25" i="94"/>
  <c r="AH25" i="94"/>
  <c r="V25" i="94"/>
  <c r="AF25" i="94"/>
  <c r="X21" i="94"/>
  <c r="AH24" i="94"/>
  <c r="AE25" i="94"/>
  <c r="W25" i="94"/>
  <c r="V19" i="94"/>
  <c r="AC19" i="94"/>
  <c r="AG19" i="94"/>
  <c r="AD19" i="94"/>
  <c r="AH19" i="94"/>
  <c r="W16" i="94"/>
  <c r="W22" i="94"/>
  <c r="H46" i="93"/>
  <c r="W46" i="93" s="1"/>
  <c r="X46" i="93" s="1"/>
  <c r="L46" i="93"/>
  <c r="H14" i="93"/>
  <c r="L14" i="93"/>
  <c r="I41" i="93"/>
  <c r="M41" i="93"/>
  <c r="K42" i="93"/>
  <c r="P42" i="93"/>
  <c r="O42" i="93" s="1"/>
  <c r="K40" i="93"/>
  <c r="P40" i="93"/>
  <c r="O40" i="93" s="1"/>
  <c r="K36" i="93"/>
  <c r="P36" i="93"/>
  <c r="O36" i="93" s="1"/>
  <c r="K34" i="93"/>
  <c r="P34" i="93"/>
  <c r="O34" i="93" s="1"/>
  <c r="H45" i="93"/>
  <c r="W45" i="93" s="1"/>
  <c r="X45" i="93" s="1"/>
  <c r="L45" i="93"/>
  <c r="H44" i="93"/>
  <c r="W44" i="93" s="1"/>
  <c r="X44" i="93" s="1"/>
  <c r="L44" i="93"/>
  <c r="H43" i="93"/>
  <c r="W43" i="93" s="1"/>
  <c r="X43" i="93" s="1"/>
  <c r="L43" i="93"/>
  <c r="I42" i="93"/>
  <c r="U42" i="93" s="1"/>
  <c r="K41" i="93"/>
  <c r="P41" i="93"/>
  <c r="Y42" i="93"/>
  <c r="M33" i="93"/>
  <c r="I33" i="93"/>
  <c r="U33" i="93" s="1"/>
  <c r="M35" i="93"/>
  <c r="M29" i="93"/>
  <c r="M25" i="93"/>
  <c r="W25" i="93"/>
  <c r="P24" i="93"/>
  <c r="I23" i="93"/>
  <c r="U23" i="93" s="1"/>
  <c r="M23" i="93"/>
  <c r="W23" i="93"/>
  <c r="X23" i="93" s="1"/>
  <c r="Y23" i="93" s="1"/>
  <c r="I22" i="93"/>
  <c r="U22" i="93" s="1"/>
  <c r="M22" i="93"/>
  <c r="W22" i="93"/>
  <c r="X22" i="93" s="1"/>
  <c r="Y22" i="93" s="1"/>
  <c r="I21" i="93"/>
  <c r="U21" i="93" s="1"/>
  <c r="M21" i="93"/>
  <c r="W21" i="93"/>
  <c r="X21" i="93" s="1"/>
  <c r="I20" i="93"/>
  <c r="U20" i="93" s="1"/>
  <c r="M20" i="93"/>
  <c r="W20" i="93"/>
  <c r="X20" i="93" s="1"/>
  <c r="Y20" i="93" s="1"/>
  <c r="K31" i="93"/>
  <c r="P28" i="93"/>
  <c r="O28" i="93" s="1"/>
  <c r="I26" i="93"/>
  <c r="U26" i="93" s="1"/>
  <c r="M26" i="93"/>
  <c r="X26" i="93"/>
  <c r="M42" i="93"/>
  <c r="M40" i="93"/>
  <c r="P33" i="93"/>
  <c r="O33" i="93" s="1"/>
  <c r="M36" i="93"/>
  <c r="M34" i="93"/>
  <c r="P29" i="93"/>
  <c r="O29" i="93" s="1"/>
  <c r="Y21" i="93"/>
  <c r="I32" i="93"/>
  <c r="U32" i="93" s="1"/>
  <c r="M32" i="93"/>
  <c r="I31" i="93"/>
  <c r="U31" i="93" s="1"/>
  <c r="M31" i="93"/>
  <c r="K27" i="93"/>
  <c r="P27" i="93"/>
  <c r="O27" i="93" s="1"/>
  <c r="Y26" i="93"/>
  <c r="I19" i="93"/>
  <c r="U19" i="93" s="1"/>
  <c r="V19" i="93" s="1"/>
  <c r="M19" i="93"/>
  <c r="W19" i="93"/>
  <c r="X19" i="93" s="1"/>
  <c r="I18" i="93"/>
  <c r="U18" i="93" s="1"/>
  <c r="M18" i="93"/>
  <c r="W18" i="93"/>
  <c r="X18" i="93" s="1"/>
  <c r="Y18" i="93" s="1"/>
  <c r="I17" i="93"/>
  <c r="U17" i="93" s="1"/>
  <c r="M17" i="93"/>
  <c r="W17" i="93"/>
  <c r="X17" i="93" s="1"/>
  <c r="Y17" i="93" s="1"/>
  <c r="I16" i="93"/>
  <c r="U16" i="93" s="1"/>
  <c r="M16" i="93"/>
  <c r="W16" i="93"/>
  <c r="X16" i="93" s="1"/>
  <c r="Y16" i="93" s="1"/>
  <c r="I15" i="93"/>
  <c r="U15" i="93" s="1"/>
  <c r="M15" i="93"/>
  <c r="W15" i="93"/>
  <c r="X15" i="93" s="1"/>
  <c r="Y15" i="93" s="1"/>
  <c r="L26" i="93"/>
  <c r="L25" i="93"/>
  <c r="H24" i="93"/>
  <c r="K24" i="93" s="1"/>
  <c r="L22" i="93"/>
  <c r="L20" i="93"/>
  <c r="L18" i="93"/>
  <c r="L16" i="93"/>
  <c r="M30" i="93"/>
  <c r="M27" i="93"/>
  <c r="AC27" i="93" s="1"/>
  <c r="AD27" i="93" s="1"/>
  <c r="L23" i="93"/>
  <c r="L21" i="93"/>
  <c r="L19" i="93"/>
  <c r="L17" i="93"/>
  <c r="L15" i="93"/>
  <c r="P30" i="93"/>
  <c r="O30" i="93" s="1"/>
  <c r="M28" i="93"/>
  <c r="K71" i="92"/>
  <c r="I64" i="92"/>
  <c r="U64" i="92" s="1"/>
  <c r="V64" i="92" s="1"/>
  <c r="I60" i="92"/>
  <c r="U60" i="92" s="1"/>
  <c r="V60" i="92" s="1"/>
  <c r="M60" i="92"/>
  <c r="W60" i="92"/>
  <c r="X60" i="92" s="1"/>
  <c r="W74" i="92"/>
  <c r="X74" i="92" s="1"/>
  <c r="K74" i="92"/>
  <c r="W68" i="92"/>
  <c r="X68" i="92" s="1"/>
  <c r="H65" i="92"/>
  <c r="L65" i="92"/>
  <c r="I63" i="92"/>
  <c r="U63" i="92" s="1"/>
  <c r="V63" i="92" s="1"/>
  <c r="Y63" i="92" s="1"/>
  <c r="M63" i="92"/>
  <c r="W61" i="92"/>
  <c r="X61" i="92" s="1"/>
  <c r="I61" i="92"/>
  <c r="U61" i="92" s="1"/>
  <c r="V61" i="92" s="1"/>
  <c r="M61" i="92"/>
  <c r="K64" i="92"/>
  <c r="P64" i="92"/>
  <c r="O64" i="92" s="1"/>
  <c r="I51" i="92"/>
  <c r="U51" i="92" s="1"/>
  <c r="V51" i="92" s="1"/>
  <c r="M51" i="92"/>
  <c r="W51" i="92"/>
  <c r="X51" i="92" s="1"/>
  <c r="K38" i="92"/>
  <c r="P38" i="92"/>
  <c r="O38" i="92" s="1"/>
  <c r="L21" i="92"/>
  <c r="V68" i="92"/>
  <c r="K60" i="92"/>
  <c r="P60" i="92"/>
  <c r="O60" i="92" s="1"/>
  <c r="AC54" i="92"/>
  <c r="AD54" i="92" s="1"/>
  <c r="I54" i="92"/>
  <c r="U54" i="92" s="1"/>
  <c r="M54" i="92"/>
  <c r="P62" i="92"/>
  <c r="O62" i="92" s="1"/>
  <c r="L51" i="92"/>
  <c r="P48" i="92"/>
  <c r="O48" i="92" s="1"/>
  <c r="K42" i="92"/>
  <c r="W38" i="92"/>
  <c r="X38" i="92" s="1"/>
  <c r="I38" i="92"/>
  <c r="U38" i="92" s="1"/>
  <c r="V38" i="92" s="1"/>
  <c r="M38" i="92"/>
  <c r="P34" i="92"/>
  <c r="O34" i="92" s="1"/>
  <c r="L63" i="92"/>
  <c r="W62" i="92"/>
  <c r="X62" i="92" s="1"/>
  <c r="Y62" i="92" s="1"/>
  <c r="L61" i="92"/>
  <c r="K31" i="92"/>
  <c r="P31" i="92"/>
  <c r="O31" i="92" s="1"/>
  <c r="I28" i="92"/>
  <c r="U28" i="92" s="1"/>
  <c r="V28" i="92" s="1"/>
  <c r="M28" i="92"/>
  <c r="W28" i="92"/>
  <c r="X28" i="92" s="1"/>
  <c r="K22" i="92"/>
  <c r="P22" i="92"/>
  <c r="O22" i="92" s="1"/>
  <c r="K15" i="92"/>
  <c r="P15" i="92"/>
  <c r="O15" i="92" s="1"/>
  <c r="M62" i="92"/>
  <c r="L54" i="92"/>
  <c r="M48" i="92"/>
  <c r="AC48" i="92" s="1"/>
  <c r="AD48" i="92" s="1"/>
  <c r="M42" i="92"/>
  <c r="I42" i="92"/>
  <c r="U42" i="92" s="1"/>
  <c r="V42" i="92" s="1"/>
  <c r="Y42" i="92" s="1"/>
  <c r="K30" i="92"/>
  <c r="P30" i="92"/>
  <c r="O30" i="92" s="1"/>
  <c r="I19" i="92"/>
  <c r="U19" i="92" s="1"/>
  <c r="V19" i="92" s="1"/>
  <c r="M19" i="92"/>
  <c r="W19" i="92"/>
  <c r="X19" i="92" s="1"/>
  <c r="W18" i="92"/>
  <c r="X18" i="92" s="1"/>
  <c r="I18" i="92"/>
  <c r="U18" i="92" s="1"/>
  <c r="V18" i="92" s="1"/>
  <c r="M18" i="92"/>
  <c r="H45" i="92"/>
  <c r="L45" i="92"/>
  <c r="H41" i="92"/>
  <c r="L41" i="92"/>
  <c r="K37" i="92"/>
  <c r="K29" i="92"/>
  <c r="P29" i="92"/>
  <c r="O29" i="92" s="1"/>
  <c r="M37" i="92"/>
  <c r="M31" i="92"/>
  <c r="AC31" i="92" s="1"/>
  <c r="AD31" i="92" s="1"/>
  <c r="M29" i="92"/>
  <c r="L28" i="92"/>
  <c r="M22" i="92"/>
  <c r="M34" i="92"/>
  <c r="M30" i="92"/>
  <c r="L18" i="92"/>
  <c r="L19" i="92"/>
  <c r="X19" i="94" l="1"/>
  <c r="W19" i="94"/>
  <c r="AI23" i="94"/>
  <c r="AS23" i="94" s="1"/>
  <c r="T19" i="94"/>
  <c r="AF19" i="94"/>
  <c r="AO21" i="94"/>
  <c r="AH23" i="94"/>
  <c r="X16" i="94"/>
  <c r="AC23" i="94"/>
  <c r="AD23" i="94"/>
  <c r="AH16" i="94"/>
  <c r="AG16" i="94"/>
  <c r="V16" i="94"/>
  <c r="AD16" i="94"/>
  <c r="AC16" i="94"/>
  <c r="AD26" i="94"/>
  <c r="AE26" i="94"/>
  <c r="T16" i="94"/>
  <c r="AF16" i="94"/>
  <c r="AI16" i="94"/>
  <c r="AS16" i="94" s="1"/>
  <c r="AF26" i="94"/>
  <c r="AI25" i="94"/>
  <c r="AQ25" i="94" s="1"/>
  <c r="W21" i="94"/>
  <c r="AC22" i="94"/>
  <c r="T21" i="94"/>
  <c r="AF21" i="94"/>
  <c r="AH26" i="94"/>
  <c r="AI26" i="94"/>
  <c r="AS26" i="94" s="1"/>
  <c r="AR21" i="94"/>
  <c r="AN25" i="94"/>
  <c r="AH20" i="94"/>
  <c r="AI20" i="94"/>
  <c r="AS20" i="94" s="1"/>
  <c r="AF20" i="94"/>
  <c r="W26" i="94"/>
  <c r="AE22" i="94"/>
  <c r="AG22" i="94"/>
  <c r="AC26" i="94"/>
  <c r="AH21" i="94"/>
  <c r="AG21" i="94"/>
  <c r="V21" i="94"/>
  <c r="T26" i="94"/>
  <c r="AP21" i="94"/>
  <c r="AN21" i="94"/>
  <c r="AD20" i="94"/>
  <c r="AG20" i="94"/>
  <c r="V20" i="94"/>
  <c r="U21" i="94"/>
  <c r="AH22" i="94"/>
  <c r="AI22" i="94"/>
  <c r="AS22" i="94" s="1"/>
  <c r="AM21" i="94"/>
  <c r="AG26" i="94"/>
  <c r="AD21" i="94"/>
  <c r="AC21" i="94"/>
  <c r="AQ21" i="94"/>
  <c r="X26" i="94"/>
  <c r="U26" i="94"/>
  <c r="AL21" i="94"/>
  <c r="AE20" i="94"/>
  <c r="X20" i="94"/>
  <c r="AF22" i="94"/>
  <c r="AD22" i="94"/>
  <c r="AO25" i="94"/>
  <c r="AP25" i="94"/>
  <c r="AI19" i="94"/>
  <c r="AO19" i="94" s="1"/>
  <c r="AE21" i="94"/>
  <c r="V22" i="94"/>
  <c r="X22" i="94"/>
  <c r="U22" i="94"/>
  <c r="AG25" i="94"/>
  <c r="AF23" i="94"/>
  <c r="AE23" i="94"/>
  <c r="X23" i="94"/>
  <c r="V23" i="94"/>
  <c r="U23" i="94"/>
  <c r="AC25" i="94"/>
  <c r="AE19" i="94"/>
  <c r="AC17" i="94"/>
  <c r="AG17" i="94"/>
  <c r="W17" i="94"/>
  <c r="Y17" i="94" s="1"/>
  <c r="Y25" i="94"/>
  <c r="Y19" i="94"/>
  <c r="AB19" i="97"/>
  <c r="AC19" i="97" s="1"/>
  <c r="W15" i="97"/>
  <c r="U15" i="97"/>
  <c r="X15" i="97" s="1"/>
  <c r="AB15" i="97" s="1"/>
  <c r="AC15" i="97" s="1"/>
  <c r="U18" i="97"/>
  <c r="AZ18" i="97"/>
  <c r="W18" i="97"/>
  <c r="U21" i="97"/>
  <c r="X21" i="97" s="1"/>
  <c r="AZ21" i="97"/>
  <c r="W21" i="97"/>
  <c r="U16" i="97"/>
  <c r="W16" i="97"/>
  <c r="BC19" i="97"/>
  <c r="BF19" i="97"/>
  <c r="BB19" i="97"/>
  <c r="BE19" i="97"/>
  <c r="BA19" i="97"/>
  <c r="BD19" i="97"/>
  <c r="W14" i="97"/>
  <c r="U14" i="97"/>
  <c r="X14" i="97" s="1"/>
  <c r="AZ14" i="97"/>
  <c r="U17" i="97"/>
  <c r="W17" i="97"/>
  <c r="AZ20" i="97"/>
  <c r="W20" i="97"/>
  <c r="U20" i="97"/>
  <c r="X20" i="97" s="1"/>
  <c r="Y15" i="92"/>
  <c r="AC22" i="92"/>
  <c r="AD22" i="92" s="1"/>
  <c r="AP22" i="92" s="1"/>
  <c r="AC31" i="93"/>
  <c r="AD31" i="93" s="1"/>
  <c r="U41" i="93"/>
  <c r="V41" i="93" s="1"/>
  <c r="Y41" i="93" s="1"/>
  <c r="I29" i="93"/>
  <c r="U29" i="93" s="1"/>
  <c r="W29" i="93"/>
  <c r="X29" i="93" s="1"/>
  <c r="Y29" i="93" s="1"/>
  <c r="W35" i="93"/>
  <c r="X35" i="93" s="1"/>
  <c r="Y35" i="93" s="1"/>
  <c r="AR15" i="96"/>
  <c r="AC33" i="93"/>
  <c r="AD33" i="93" s="1"/>
  <c r="AP33" i="93" s="1"/>
  <c r="AC28" i="93"/>
  <c r="AD28" i="93" s="1"/>
  <c r="AL28" i="93" s="1"/>
  <c r="AC36" i="93"/>
  <c r="AD36" i="93" s="1"/>
  <c r="K32" i="93"/>
  <c r="AC32" i="93" s="1"/>
  <c r="AD32" i="93" s="1"/>
  <c r="AC29" i="93"/>
  <c r="AD29" i="93" s="1"/>
  <c r="AP29" i="93" s="1"/>
  <c r="O41" i="93"/>
  <c r="I30" i="93"/>
  <c r="U30" i="93" s="1"/>
  <c r="X30" i="93"/>
  <c r="Y30" i="93" s="1"/>
  <c r="I35" i="93"/>
  <c r="U35" i="93" s="1"/>
  <c r="K35" i="93"/>
  <c r="AC34" i="93"/>
  <c r="AD34" i="93" s="1"/>
  <c r="AC40" i="93"/>
  <c r="AD40" i="93" s="1"/>
  <c r="AM40" i="93" s="1"/>
  <c r="O68" i="92"/>
  <c r="AC57" i="92"/>
  <c r="AN25" i="92"/>
  <c r="AP25" i="92"/>
  <c r="AO25" i="92"/>
  <c r="Y34" i="92"/>
  <c r="AC34" i="92" s="1"/>
  <c r="AD34" i="92" s="1"/>
  <c r="Y20" i="92"/>
  <c r="Y74" i="92"/>
  <c r="W64" i="92"/>
  <c r="X64" i="92" s="1"/>
  <c r="Y64" i="92" s="1"/>
  <c r="AC64" i="92" s="1"/>
  <c r="AD64" i="92" s="1"/>
  <c r="AC71" i="92"/>
  <c r="AD71" i="92" s="1"/>
  <c r="AJ71" i="92" s="1"/>
  <c r="Y37" i="92"/>
  <c r="AC37" i="92" s="1"/>
  <c r="AD37" i="92" s="1"/>
  <c r="K68" i="92"/>
  <c r="AC15" i="92"/>
  <c r="AD15" i="92" s="1"/>
  <c r="AP15" i="92" s="1"/>
  <c r="M68" i="92"/>
  <c r="Y29" i="92"/>
  <c r="Y61" i="92"/>
  <c r="Y60" i="92"/>
  <c r="AC60" i="92" s="1"/>
  <c r="AD60" i="92" s="1"/>
  <c r="AD57" i="92"/>
  <c r="Y38" i="92"/>
  <c r="AC38" i="92" s="1"/>
  <c r="AD38" i="92" s="1"/>
  <c r="Y30" i="92"/>
  <c r="AC30" i="92" s="1"/>
  <c r="AD30" i="92" s="1"/>
  <c r="AJ30" i="92" s="1"/>
  <c r="J15" i="95"/>
  <c r="O15" i="95"/>
  <c r="N15" i="95" s="1"/>
  <c r="J14" i="95"/>
  <c r="O14" i="95"/>
  <c r="N14" i="95" s="1"/>
  <c r="U21" i="95"/>
  <c r="W21" i="95"/>
  <c r="AZ21" i="95"/>
  <c r="BF21" i="95" s="1"/>
  <c r="W18" i="95"/>
  <c r="AZ18" i="95"/>
  <c r="BF18" i="95" s="1"/>
  <c r="U18" i="95"/>
  <c r="X18" i="95" s="1"/>
  <c r="AP23" i="95"/>
  <c r="AQ23" i="95" s="1"/>
  <c r="J16" i="95"/>
  <c r="O16" i="95"/>
  <c r="N16" i="95" s="1"/>
  <c r="W15" i="95"/>
  <c r="AZ15" i="95"/>
  <c r="BF15" i="95" s="1"/>
  <c r="U15" i="95"/>
  <c r="BG23" i="95"/>
  <c r="W17" i="95"/>
  <c r="U17" i="95"/>
  <c r="H16" i="95"/>
  <c r="T16" i="95" s="1"/>
  <c r="L16" i="95"/>
  <c r="V16" i="95"/>
  <c r="J23" i="95"/>
  <c r="O23" i="95"/>
  <c r="N23" i="95" s="1"/>
  <c r="J17" i="95"/>
  <c r="O17" i="95"/>
  <c r="N17" i="95" s="1"/>
  <c r="J20" i="95"/>
  <c r="O20" i="95"/>
  <c r="N20" i="95" s="1"/>
  <c r="J19" i="95"/>
  <c r="O19" i="95"/>
  <c r="N19" i="95" s="1"/>
  <c r="U14" i="95"/>
  <c r="W14" i="95"/>
  <c r="AZ14" i="95"/>
  <c r="BF14" i="95" s="1"/>
  <c r="J18" i="95"/>
  <c r="O18" i="95"/>
  <c r="N18" i="95" s="1"/>
  <c r="J21" i="95"/>
  <c r="O21" i="95"/>
  <c r="N21" i="95" s="1"/>
  <c r="U20" i="95"/>
  <c r="W20" i="95"/>
  <c r="AZ20" i="95"/>
  <c r="BF20" i="95" s="1"/>
  <c r="H19" i="95"/>
  <c r="T19" i="95" s="1"/>
  <c r="L19" i="95"/>
  <c r="V19" i="95"/>
  <c r="AL20" i="94"/>
  <c r="AM20" i="94"/>
  <c r="Y16" i="94"/>
  <c r="AO16" i="94"/>
  <c r="AL16" i="94"/>
  <c r="AM16" i="94"/>
  <c r="AL17" i="94"/>
  <c r="AP17" i="94"/>
  <c r="AM17" i="94"/>
  <c r="AQ17" i="94"/>
  <c r="AN17" i="94"/>
  <c r="AR17" i="94"/>
  <c r="AO17" i="94"/>
  <c r="AL23" i="94"/>
  <c r="AP23" i="94"/>
  <c r="AM23" i="94"/>
  <c r="AQ23" i="94"/>
  <c r="AO23" i="94"/>
  <c r="AN23" i="94"/>
  <c r="AR23" i="94"/>
  <c r="AL26" i="94"/>
  <c r="AM26" i="94"/>
  <c r="AQ26" i="94"/>
  <c r="AJ36" i="93"/>
  <c r="AN36" i="93"/>
  <c r="AK36" i="93"/>
  <c r="AO36" i="93"/>
  <c r="AL36" i="93"/>
  <c r="AP36" i="93"/>
  <c r="AM36" i="93"/>
  <c r="AM33" i="93"/>
  <c r="AO33" i="93"/>
  <c r="AM27" i="93"/>
  <c r="AJ27" i="93"/>
  <c r="AN27" i="93"/>
  <c r="AK27" i="93"/>
  <c r="AO27" i="93"/>
  <c r="AL27" i="93"/>
  <c r="AP27" i="93"/>
  <c r="AK31" i="93"/>
  <c r="AO31" i="93"/>
  <c r="AM31" i="93"/>
  <c r="AN31" i="93"/>
  <c r="AP31" i="93"/>
  <c r="AJ31" i="93"/>
  <c r="AL31" i="93"/>
  <c r="AJ34" i="93"/>
  <c r="AN34" i="93"/>
  <c r="AK34" i="93"/>
  <c r="AO34" i="93"/>
  <c r="AL34" i="93"/>
  <c r="AP34" i="93"/>
  <c r="AM34" i="93"/>
  <c r="AJ40" i="93"/>
  <c r="AL40" i="93"/>
  <c r="K20" i="93"/>
  <c r="AC20" i="93" s="1"/>
  <c r="AD20" i="93" s="1"/>
  <c r="P20" i="93"/>
  <c r="O20" i="93" s="1"/>
  <c r="K25" i="93"/>
  <c r="AC25" i="93" s="1"/>
  <c r="P25" i="93"/>
  <c r="O25" i="93" s="1"/>
  <c r="K19" i="93"/>
  <c r="P19" i="93"/>
  <c r="O19" i="93" s="1"/>
  <c r="K22" i="93"/>
  <c r="AC22" i="93" s="1"/>
  <c r="AD22" i="93" s="1"/>
  <c r="P22" i="93"/>
  <c r="O22" i="93" s="1"/>
  <c r="K26" i="93"/>
  <c r="AC26" i="93" s="1"/>
  <c r="AD26" i="93" s="1"/>
  <c r="P26" i="93"/>
  <c r="O26" i="93" s="1"/>
  <c r="I43" i="93"/>
  <c r="U43" i="93" s="1"/>
  <c r="M43" i="93"/>
  <c r="Y43" i="93"/>
  <c r="K21" i="93"/>
  <c r="AC21" i="93" s="1"/>
  <c r="AD21" i="93" s="1"/>
  <c r="P21" i="93"/>
  <c r="O21" i="93" s="1"/>
  <c r="K16" i="93"/>
  <c r="AC16" i="93" s="1"/>
  <c r="AD16" i="93" s="1"/>
  <c r="P16" i="93"/>
  <c r="O16" i="93" s="1"/>
  <c r="M24" i="93"/>
  <c r="AC24" i="93" s="1"/>
  <c r="W24" i="93"/>
  <c r="K45" i="93"/>
  <c r="P45" i="93"/>
  <c r="O45" i="93" s="1"/>
  <c r="P46" i="93"/>
  <c r="O46" i="93" s="1"/>
  <c r="K46" i="93"/>
  <c r="K15" i="93"/>
  <c r="AC15" i="93" s="1"/>
  <c r="AD15" i="93" s="1"/>
  <c r="P15" i="93"/>
  <c r="O15" i="93" s="1"/>
  <c r="K23" i="93"/>
  <c r="AC23" i="93" s="1"/>
  <c r="AD23" i="93" s="1"/>
  <c r="P23" i="93"/>
  <c r="O23" i="93" s="1"/>
  <c r="K18" i="93"/>
  <c r="AC18" i="93" s="1"/>
  <c r="AD18" i="93" s="1"/>
  <c r="P18" i="93"/>
  <c r="O18" i="93" s="1"/>
  <c r="AC42" i="93"/>
  <c r="AD42" i="93" s="1"/>
  <c r="K44" i="93"/>
  <c r="P44" i="93"/>
  <c r="O44" i="93" s="1"/>
  <c r="Y45" i="93"/>
  <c r="M45" i="93"/>
  <c r="I45" i="93"/>
  <c r="U45" i="93" s="1"/>
  <c r="K14" i="93"/>
  <c r="P14" i="93"/>
  <c r="O14" i="93" s="1"/>
  <c r="Y46" i="93"/>
  <c r="M46" i="93"/>
  <c r="I46" i="93"/>
  <c r="U46" i="93" s="1"/>
  <c r="K17" i="93"/>
  <c r="AC17" i="93" s="1"/>
  <c r="AD17" i="93" s="1"/>
  <c r="P17" i="93"/>
  <c r="O17" i="93" s="1"/>
  <c r="Y19" i="93"/>
  <c r="O24" i="93"/>
  <c r="P43" i="93"/>
  <c r="O43" i="93" s="1"/>
  <c r="K43" i="93"/>
  <c r="Y44" i="93"/>
  <c r="M44" i="93"/>
  <c r="I44" i="93"/>
  <c r="U44" i="93" s="1"/>
  <c r="W14" i="93"/>
  <c r="X14" i="93" s="1"/>
  <c r="Y14" i="93" s="1"/>
  <c r="I14" i="93"/>
  <c r="U14" i="93" s="1"/>
  <c r="M14" i="93"/>
  <c r="AL31" i="92"/>
  <c r="AP31" i="92"/>
  <c r="AM31" i="92"/>
  <c r="AJ31" i="92"/>
  <c r="AN31" i="92"/>
  <c r="AK31" i="92"/>
  <c r="AO31" i="92"/>
  <c r="AC62" i="92"/>
  <c r="AD62" i="92" s="1"/>
  <c r="AC74" i="92"/>
  <c r="AD74" i="92" s="1"/>
  <c r="AK71" i="92"/>
  <c r="AL22" i="92"/>
  <c r="AJ22" i="92"/>
  <c r="AN22" i="92"/>
  <c r="K19" i="92"/>
  <c r="P19" i="92"/>
  <c r="O19" i="92" s="1"/>
  <c r="M45" i="92"/>
  <c r="I45" i="92"/>
  <c r="U45" i="92" s="1"/>
  <c r="V45" i="92" s="1"/>
  <c r="W45" i="92"/>
  <c r="X45" i="92" s="1"/>
  <c r="Y19" i="92"/>
  <c r="Y68" i="92"/>
  <c r="Y51" i="92"/>
  <c r="K18" i="92"/>
  <c r="P18" i="92"/>
  <c r="O18" i="92" s="1"/>
  <c r="AP30" i="92"/>
  <c r="P41" i="92"/>
  <c r="O41" i="92" s="1"/>
  <c r="K41" i="92"/>
  <c r="K63" i="92"/>
  <c r="P63" i="92"/>
  <c r="O63" i="92" s="1"/>
  <c r="AC29" i="92"/>
  <c r="AD29" i="92" s="1"/>
  <c r="P21" i="92"/>
  <c r="O21" i="92" s="1"/>
  <c r="K21" i="92"/>
  <c r="AC21" i="92" s="1"/>
  <c r="AD21" i="92" s="1"/>
  <c r="AC63" i="92"/>
  <c r="AD63" i="92" s="1"/>
  <c r="M41" i="92"/>
  <c r="W41" i="92"/>
  <c r="X41" i="92" s="1"/>
  <c r="I41" i="92"/>
  <c r="U41" i="92" s="1"/>
  <c r="V41" i="92" s="1"/>
  <c r="AK15" i="92"/>
  <c r="AO15" i="92"/>
  <c r="AL15" i="92"/>
  <c r="AJ15" i="92"/>
  <c r="AN15" i="92"/>
  <c r="K54" i="92"/>
  <c r="P54" i="92"/>
  <c r="O54" i="92" s="1"/>
  <c r="Y18" i="92"/>
  <c r="K51" i="92"/>
  <c r="P51" i="92"/>
  <c r="O51" i="92" s="1"/>
  <c r="AO54" i="92"/>
  <c r="AP54" i="92"/>
  <c r="AN54" i="92"/>
  <c r="K65" i="92"/>
  <c r="P65" i="92"/>
  <c r="O65" i="92" s="1"/>
  <c r="K28" i="92"/>
  <c r="P28" i="92"/>
  <c r="O28" i="92" s="1"/>
  <c r="P45" i="92"/>
  <c r="O45" i="92" s="1"/>
  <c r="K45" i="92"/>
  <c r="AC42" i="92"/>
  <c r="AD42" i="92" s="1"/>
  <c r="Y28" i="92"/>
  <c r="K61" i="92"/>
  <c r="P61" i="92"/>
  <c r="O61" i="92" s="1"/>
  <c r="I65" i="92"/>
  <c r="U65" i="92" s="1"/>
  <c r="V65" i="92" s="1"/>
  <c r="M65" i="92"/>
  <c r="W65" i="92"/>
  <c r="X65" i="92" s="1"/>
  <c r="X14" i="95" l="1"/>
  <c r="X21" i="95"/>
  <c r="X17" i="95"/>
  <c r="AJ23" i="94"/>
  <c r="AN26" i="94"/>
  <c r="AL25" i="94"/>
  <c r="AM25" i="94"/>
  <c r="Y20" i="94"/>
  <c r="AJ16" i="94"/>
  <c r="AK16" i="94" s="1"/>
  <c r="AR26" i="94"/>
  <c r="AO26" i="94"/>
  <c r="AT26" i="94" s="1"/>
  <c r="AQ16" i="94"/>
  <c r="AR16" i="94"/>
  <c r="AQ20" i="94"/>
  <c r="AP26" i="94"/>
  <c r="AP16" i="94"/>
  <c r="AN16" i="94"/>
  <c r="AT16" i="94" s="1"/>
  <c r="AN20" i="94"/>
  <c r="Y22" i="94"/>
  <c r="Y26" i="94"/>
  <c r="AO20" i="94"/>
  <c r="AP20" i="94"/>
  <c r="AR20" i="94"/>
  <c r="AT21" i="94"/>
  <c r="AJ21" i="94"/>
  <c r="AJ22" i="94"/>
  <c r="AJ26" i="94"/>
  <c r="AK26" i="94" s="1"/>
  <c r="Y21" i="94"/>
  <c r="AR22" i="94"/>
  <c r="AJ20" i="94"/>
  <c r="AK20" i="94" s="1"/>
  <c r="AS25" i="94"/>
  <c r="AR25" i="94"/>
  <c r="AQ19" i="94"/>
  <c r="AL22" i="94"/>
  <c r="AQ22" i="94"/>
  <c r="AJ25" i="94"/>
  <c r="AK25" i="94" s="1"/>
  <c r="AP22" i="94"/>
  <c r="AN22" i="94"/>
  <c r="AO22" i="94"/>
  <c r="AM22" i="94"/>
  <c r="AJ19" i="94"/>
  <c r="AK19" i="94" s="1"/>
  <c r="Y23" i="94"/>
  <c r="AK23" i="94" s="1"/>
  <c r="AP19" i="94"/>
  <c r="AR19" i="94"/>
  <c r="AL19" i="94"/>
  <c r="AM19" i="94"/>
  <c r="AN19" i="94"/>
  <c r="AS19" i="94"/>
  <c r="AJ17" i="94"/>
  <c r="AK17" i="94" s="1"/>
  <c r="AJ15" i="97"/>
  <c r="AI15" i="97"/>
  <c r="AP15" i="97" s="1"/>
  <c r="X16" i="97"/>
  <c r="BD20" i="97"/>
  <c r="BC20" i="97"/>
  <c r="BF20" i="97"/>
  <c r="BB20" i="97"/>
  <c r="BE20" i="97"/>
  <c r="BA20" i="97"/>
  <c r="AB21" i="97"/>
  <c r="AC21" i="97" s="1"/>
  <c r="AB20" i="97"/>
  <c r="AC20" i="97" s="1"/>
  <c r="X17" i="97"/>
  <c r="BF18" i="97"/>
  <c r="BB18" i="97"/>
  <c r="BE18" i="97"/>
  <c r="BA18" i="97"/>
  <c r="BD18" i="97"/>
  <c r="BC18" i="97"/>
  <c r="AB14" i="97"/>
  <c r="AC14" i="97" s="1"/>
  <c r="BC14" i="97"/>
  <c r="BF14" i="97"/>
  <c r="BF25" i="97" s="1"/>
  <c r="BB14" i="97"/>
  <c r="BE14" i="97"/>
  <c r="BA14" i="97"/>
  <c r="BD14" i="97"/>
  <c r="BE21" i="97"/>
  <c r="BA21" i="97"/>
  <c r="BF21" i="97"/>
  <c r="BB21" i="97"/>
  <c r="BD21" i="97"/>
  <c r="BC21" i="97"/>
  <c r="X18" i="97"/>
  <c r="AS19" i="97"/>
  <c r="AO19" i="97"/>
  <c r="AK19" i="97"/>
  <c r="AV19" i="97"/>
  <c r="AR19" i="97"/>
  <c r="BG19" i="97" s="1"/>
  <c r="AN19" i="97"/>
  <c r="AJ19" i="97"/>
  <c r="AU19" i="97"/>
  <c r="AM19" i="97"/>
  <c r="AI19" i="97"/>
  <c r="AL19" i="97"/>
  <c r="AT19" i="97"/>
  <c r="AO22" i="92"/>
  <c r="AM22" i="92"/>
  <c r="AN71" i="92"/>
  <c r="AM15" i="92"/>
  <c r="AN30" i="92"/>
  <c r="AK22" i="92"/>
  <c r="AM71" i="92"/>
  <c r="AC41" i="93"/>
  <c r="AD41" i="93" s="1"/>
  <c r="AN33" i="93"/>
  <c r="AL33" i="93"/>
  <c r="AJ33" i="93"/>
  <c r="AJ29" i="93"/>
  <c r="AC35" i="93"/>
  <c r="AD35" i="93" s="1"/>
  <c r="AK35" i="93" s="1"/>
  <c r="AK33" i="93"/>
  <c r="AC30" i="93"/>
  <c r="AD30" i="93" s="1"/>
  <c r="AK30" i="93" s="1"/>
  <c r="AM28" i="93"/>
  <c r="AK28" i="93"/>
  <c r="AL35" i="93"/>
  <c r="AO35" i="93"/>
  <c r="AM35" i="93"/>
  <c r="AN30" i="93"/>
  <c r="AN32" i="93"/>
  <c r="AM32" i="93"/>
  <c r="AP32" i="93"/>
  <c r="AK32" i="93"/>
  <c r="AO32" i="93"/>
  <c r="AL32" i="93"/>
  <c r="AJ32" i="93"/>
  <c r="AP30" i="93"/>
  <c r="AP40" i="93"/>
  <c r="AK40" i="93"/>
  <c r="AN29" i="93"/>
  <c r="AL29" i="93"/>
  <c r="AJ28" i="93"/>
  <c r="AO28" i="93"/>
  <c r="AN40" i="93"/>
  <c r="AO29" i="93"/>
  <c r="AM29" i="93"/>
  <c r="AP28" i="93"/>
  <c r="AL30" i="93"/>
  <c r="AM30" i="93"/>
  <c r="AO40" i="93"/>
  <c r="AK29" i="93"/>
  <c r="AN28" i="93"/>
  <c r="AJ30" i="93"/>
  <c r="AQ25" i="92"/>
  <c r="AR25" i="92" s="1"/>
  <c r="AK37" i="92"/>
  <c r="AO37" i="92"/>
  <c r="AJ37" i="92"/>
  <c r="AP37" i="92"/>
  <c r="AM37" i="92"/>
  <c r="AN37" i="92"/>
  <c r="AC20" i="92"/>
  <c r="AD20" i="92" s="1"/>
  <c r="V75" i="92"/>
  <c r="AL37" i="92"/>
  <c r="AL71" i="92"/>
  <c r="AO71" i="92"/>
  <c r="AP71" i="92"/>
  <c r="AC61" i="92"/>
  <c r="AD61" i="92" s="1"/>
  <c r="AP61" i="92" s="1"/>
  <c r="AN57" i="92"/>
  <c r="AP57" i="92"/>
  <c r="AO57" i="92"/>
  <c r="AO30" i="92"/>
  <c r="Y41" i="92"/>
  <c r="AC41" i="92" s="1"/>
  <c r="AD41" i="92" s="1"/>
  <c r="AM30" i="92"/>
  <c r="AK30" i="92"/>
  <c r="AQ15" i="92"/>
  <c r="AR15" i="92" s="1"/>
  <c r="AL30" i="92"/>
  <c r="BA20" i="95"/>
  <c r="BE20" i="95"/>
  <c r="BB20" i="95"/>
  <c r="BC20" i="95"/>
  <c r="BD20" i="95"/>
  <c r="X15" i="95"/>
  <c r="U19" i="95"/>
  <c r="X19" i="95" s="1"/>
  <c r="W19" i="95"/>
  <c r="AB14" i="95"/>
  <c r="AC14" i="95" s="1"/>
  <c r="AB17" i="95"/>
  <c r="AC17" i="95" s="1"/>
  <c r="BC15" i="95"/>
  <c r="BD15" i="95"/>
  <c r="BA15" i="95"/>
  <c r="BE15" i="95"/>
  <c r="BB15" i="95"/>
  <c r="BH23" i="95"/>
  <c r="BA21" i="95"/>
  <c r="BE21" i="95"/>
  <c r="BB21" i="95"/>
  <c r="BC21" i="95"/>
  <c r="BD21" i="95"/>
  <c r="X20" i="95"/>
  <c r="U16" i="95"/>
  <c r="W16" i="95"/>
  <c r="AB18" i="95"/>
  <c r="AC18" i="95" s="1"/>
  <c r="BA14" i="95"/>
  <c r="BE14" i="95"/>
  <c r="BB14" i="95"/>
  <c r="BC14" i="95"/>
  <c r="BD14" i="95"/>
  <c r="BC18" i="95"/>
  <c r="BD18" i="95"/>
  <c r="BA18" i="95"/>
  <c r="BE18" i="95"/>
  <c r="BB18" i="95"/>
  <c r="AB21" i="95"/>
  <c r="AC21" i="95" s="1"/>
  <c r="AT17" i="94"/>
  <c r="AT23" i="94"/>
  <c r="AM17" i="93"/>
  <c r="AJ17" i="93"/>
  <c r="AN17" i="93"/>
  <c r="AK17" i="93"/>
  <c r="AO17" i="93"/>
  <c r="AL17" i="93"/>
  <c r="AP17" i="93"/>
  <c r="AM23" i="93"/>
  <c r="AJ23" i="93"/>
  <c r="AN23" i="93"/>
  <c r="AK23" i="93"/>
  <c r="AO23" i="93"/>
  <c r="AL23" i="93"/>
  <c r="AP23" i="93"/>
  <c r="AK16" i="93"/>
  <c r="AO16" i="93"/>
  <c r="AL16" i="93"/>
  <c r="AP16" i="93"/>
  <c r="AM16" i="93"/>
  <c r="AJ16" i="93"/>
  <c r="AN16" i="93"/>
  <c r="AK18" i="93"/>
  <c r="AO18" i="93"/>
  <c r="AL18" i="93"/>
  <c r="AP18" i="93"/>
  <c r="AM18" i="93"/>
  <c r="AJ18" i="93"/>
  <c r="AN18" i="93"/>
  <c r="AM15" i="93"/>
  <c r="AJ15" i="93"/>
  <c r="AN15" i="93"/>
  <c r="AK15" i="93"/>
  <c r="AO15" i="93"/>
  <c r="AL15" i="93"/>
  <c r="AP15" i="93"/>
  <c r="AK22" i="93"/>
  <c r="AO22" i="93"/>
  <c r="AL22" i="93"/>
  <c r="AP22" i="93"/>
  <c r="AM22" i="93"/>
  <c r="AJ22" i="93"/>
  <c r="AN22" i="93"/>
  <c r="AC44" i="93"/>
  <c r="AD44" i="93" s="1"/>
  <c r="AC14" i="93"/>
  <c r="AD14" i="93" s="1"/>
  <c r="AC46" i="93"/>
  <c r="AD46" i="93" s="1"/>
  <c r="AM42" i="93"/>
  <c r="AJ42" i="93"/>
  <c r="AN42" i="93"/>
  <c r="AL42" i="93"/>
  <c r="AP42" i="93"/>
  <c r="AO42" i="93"/>
  <c r="AK42" i="93"/>
  <c r="AO24" i="93"/>
  <c r="AP24" i="93"/>
  <c r="AD24" i="93"/>
  <c r="AM24" i="93"/>
  <c r="AN24" i="93"/>
  <c r="AQ34" i="93"/>
  <c r="AR34" i="93" s="1"/>
  <c r="AC45" i="93"/>
  <c r="AD45" i="93" s="1"/>
  <c r="AC43" i="93"/>
  <c r="AD43" i="93" s="1"/>
  <c r="AK26" i="93"/>
  <c r="AO26" i="93"/>
  <c r="AL26" i="93"/>
  <c r="AP26" i="93"/>
  <c r="AM26" i="93"/>
  <c r="AJ26" i="93"/>
  <c r="AN26" i="93"/>
  <c r="AD25" i="93"/>
  <c r="AM25" i="93"/>
  <c r="AN25" i="93"/>
  <c r="AO25" i="93"/>
  <c r="AL25" i="93"/>
  <c r="AP25" i="93"/>
  <c r="AM21" i="93"/>
  <c r="AJ21" i="93"/>
  <c r="AN21" i="93"/>
  <c r="AK21" i="93"/>
  <c r="AO21" i="93"/>
  <c r="AL21" i="93"/>
  <c r="AP21" i="93"/>
  <c r="AL41" i="93"/>
  <c r="AP41" i="93"/>
  <c r="AM41" i="93"/>
  <c r="AK41" i="93"/>
  <c r="AO41" i="93"/>
  <c r="AJ41" i="93"/>
  <c r="AN41" i="93"/>
  <c r="AQ31" i="93"/>
  <c r="AR31" i="93" s="1"/>
  <c r="AQ33" i="93"/>
  <c r="AR33" i="93" s="1"/>
  <c r="AC19" i="93"/>
  <c r="AD19" i="93" s="1"/>
  <c r="AK20" i="93"/>
  <c r="AO20" i="93"/>
  <c r="AL20" i="93"/>
  <c r="AP20" i="93"/>
  <c r="AM20" i="93"/>
  <c r="AJ20" i="93"/>
  <c r="AN20" i="93"/>
  <c r="AQ27" i="93"/>
  <c r="AR27" i="93" s="1"/>
  <c r="AQ36" i="93"/>
  <c r="AR36" i="93" s="1"/>
  <c r="AL21" i="92"/>
  <c r="AP21" i="92"/>
  <c r="AM21" i="92"/>
  <c r="AK21" i="92"/>
  <c r="AJ21" i="92"/>
  <c r="AN21" i="92"/>
  <c r="AO21" i="92"/>
  <c r="Y65" i="92"/>
  <c r="AJ34" i="92"/>
  <c r="AN34" i="92"/>
  <c r="AK34" i="92"/>
  <c r="AO34" i="92"/>
  <c r="AL34" i="92"/>
  <c r="AP34" i="92"/>
  <c r="AM34" i="92"/>
  <c r="AC19" i="92"/>
  <c r="AD19" i="92" s="1"/>
  <c r="AK62" i="92"/>
  <c r="AO62" i="92"/>
  <c r="AL62" i="92"/>
  <c r="AP62" i="92"/>
  <c r="AM62" i="92"/>
  <c r="AN62" i="92"/>
  <c r="AJ62" i="92"/>
  <c r="AQ31" i="92"/>
  <c r="AR31" i="92" s="1"/>
  <c r="AJ74" i="92"/>
  <c r="AN74" i="92"/>
  <c r="AK74" i="92"/>
  <c r="AO74" i="92"/>
  <c r="AL74" i="92"/>
  <c r="AP74" i="92"/>
  <c r="AM74" i="92"/>
  <c r="AC28" i="92"/>
  <c r="AD28" i="92" s="1"/>
  <c r="AL42" i="92"/>
  <c r="AP42" i="92"/>
  <c r="AN42" i="92"/>
  <c r="AJ42" i="92"/>
  <c r="AO42" i="92"/>
  <c r="AK42" i="92"/>
  <c r="AM42" i="92"/>
  <c r="AJ60" i="92"/>
  <c r="AN60" i="92"/>
  <c r="AK60" i="92"/>
  <c r="AO60" i="92"/>
  <c r="AL60" i="92"/>
  <c r="AP60" i="92"/>
  <c r="AM60" i="92"/>
  <c r="AQ54" i="92"/>
  <c r="AR54" i="92" s="1"/>
  <c r="AL64" i="92"/>
  <c r="AP64" i="92"/>
  <c r="AM64" i="92"/>
  <c r="AO64" i="92"/>
  <c r="AJ64" i="92"/>
  <c r="AK64" i="92"/>
  <c r="AN64" i="92"/>
  <c r="AL29" i="92"/>
  <c r="AP29" i="92"/>
  <c r="AM29" i="92"/>
  <c r="AJ29" i="92"/>
  <c r="AN29" i="92"/>
  <c r="AK29" i="92"/>
  <c r="AO29" i="92"/>
  <c r="AC51" i="92"/>
  <c r="AD51" i="92" s="1"/>
  <c r="Y45" i="92"/>
  <c r="AC18" i="92"/>
  <c r="AD18" i="92" s="1"/>
  <c r="AM63" i="92"/>
  <c r="AJ63" i="92"/>
  <c r="AN63" i="92"/>
  <c r="AK63" i="92"/>
  <c r="AO63" i="92"/>
  <c r="AL63" i="92"/>
  <c r="AP63" i="92"/>
  <c r="AC68" i="92"/>
  <c r="AD68" i="92" s="1"/>
  <c r="AJ38" i="92"/>
  <c r="AN38" i="92"/>
  <c r="AL38" i="92"/>
  <c r="AP38" i="92"/>
  <c r="AK38" i="92"/>
  <c r="AM38" i="92"/>
  <c r="AO38" i="92"/>
  <c r="AK22" i="94" l="1"/>
  <c r="AS28" i="94"/>
  <c r="AK21" i="94"/>
  <c r="AU21" i="94" s="1"/>
  <c r="AT20" i="94"/>
  <c r="AU20" i="94" s="1"/>
  <c r="AT25" i="94"/>
  <c r="AU25" i="94" s="1"/>
  <c r="AT22" i="94"/>
  <c r="AT19" i="94"/>
  <c r="AU19" i="94" s="1"/>
  <c r="AU17" i="94"/>
  <c r="AU23" i="94"/>
  <c r="AU16" i="94"/>
  <c r="AT20" i="97"/>
  <c r="AL20" i="97"/>
  <c r="AS20" i="97"/>
  <c r="AO20" i="97"/>
  <c r="AK20" i="97"/>
  <c r="AV20" i="97"/>
  <c r="AR20" i="97"/>
  <c r="AN20" i="97"/>
  <c r="AJ20" i="97"/>
  <c r="AU20" i="97"/>
  <c r="AI20" i="97"/>
  <c r="AM20" i="97"/>
  <c r="AB18" i="97"/>
  <c r="AC18" i="97" s="1"/>
  <c r="AU21" i="97"/>
  <c r="AM21" i="97"/>
  <c r="AI21" i="97"/>
  <c r="AV21" i="97"/>
  <c r="AT21" i="97"/>
  <c r="AL21" i="97"/>
  <c r="AS21" i="97"/>
  <c r="AO21" i="97"/>
  <c r="AK21" i="97"/>
  <c r="AR21" i="97"/>
  <c r="AN21" i="97"/>
  <c r="AJ21" i="97"/>
  <c r="AB16" i="97"/>
  <c r="AC16" i="97" s="1"/>
  <c r="AB17" i="97"/>
  <c r="AC17" i="97" s="1"/>
  <c r="AP19" i="97"/>
  <c r="AQ19" i="97" s="1"/>
  <c r="BH19" i="97" s="1"/>
  <c r="AS14" i="97"/>
  <c r="AO14" i="97"/>
  <c r="AK14" i="97"/>
  <c r="AV14" i="97"/>
  <c r="AR14" i="97"/>
  <c r="BG14" i="97" s="1"/>
  <c r="AN14" i="97"/>
  <c r="AJ14" i="97"/>
  <c r="AU14" i="97"/>
  <c r="AM14" i="97"/>
  <c r="AI14" i="97"/>
  <c r="AP14" i="97" s="1"/>
  <c r="AQ14" i="97" s="1"/>
  <c r="BH14" i="97" s="1"/>
  <c r="AT14" i="97"/>
  <c r="AL14" i="97"/>
  <c r="AQ22" i="92"/>
  <c r="AR22" i="92" s="1"/>
  <c r="AN61" i="92"/>
  <c r="AL61" i="92"/>
  <c r="AO30" i="93"/>
  <c r="AP35" i="93"/>
  <c r="AN35" i="93"/>
  <c r="AJ35" i="93"/>
  <c r="AN16" i="96"/>
  <c r="AK16" i="96"/>
  <c r="AO16" i="96"/>
  <c r="AJ16" i="96"/>
  <c r="AM16" i="96"/>
  <c r="AP16" i="96"/>
  <c r="AL16" i="96"/>
  <c r="AQ29" i="93"/>
  <c r="AR29" i="93" s="1"/>
  <c r="AQ32" i="93"/>
  <c r="AR32" i="93" s="1"/>
  <c r="AQ35" i="93"/>
  <c r="AR35" i="93" s="1"/>
  <c r="AQ28" i="93"/>
  <c r="AR28" i="93" s="1"/>
  <c r="AQ40" i="93"/>
  <c r="AR40" i="93" s="1"/>
  <c r="AQ30" i="93"/>
  <c r="AR30" i="93" s="1"/>
  <c r="AQ71" i="92"/>
  <c r="AR71" i="92" s="1"/>
  <c r="AQ37" i="92"/>
  <c r="AR37" i="92" s="1"/>
  <c r="AN20" i="92"/>
  <c r="AJ20" i="92"/>
  <c r="AM20" i="92"/>
  <c r="AP20" i="92"/>
  <c r="AL20" i="92"/>
  <c r="AO20" i="92"/>
  <c r="AK20" i="92"/>
  <c r="AJ61" i="92"/>
  <c r="AQ64" i="92"/>
  <c r="AR64" i="92" s="1"/>
  <c r="AQ60" i="92"/>
  <c r="AR60" i="92" s="1"/>
  <c r="AQ42" i="92"/>
  <c r="AR42" i="92" s="1"/>
  <c r="AO61" i="92"/>
  <c r="AM61" i="92"/>
  <c r="AK61" i="92"/>
  <c r="AQ30" i="92"/>
  <c r="AR30" i="92" s="1"/>
  <c r="AQ57" i="92"/>
  <c r="AR57" i="92" s="1"/>
  <c r="AU26" i="94"/>
  <c r="X16" i="95"/>
  <c r="AI21" i="95"/>
  <c r="AM21" i="95"/>
  <c r="AU21" i="95"/>
  <c r="AJ21" i="95"/>
  <c r="AN21" i="95"/>
  <c r="AR21" i="95"/>
  <c r="AV21" i="95"/>
  <c r="AK21" i="95"/>
  <c r="AO21" i="95"/>
  <c r="AS21" i="95"/>
  <c r="AL21" i="95"/>
  <c r="AT21" i="95"/>
  <c r="AB20" i="95"/>
  <c r="AC20" i="95" s="1"/>
  <c r="AI17" i="95"/>
  <c r="AJ17" i="95"/>
  <c r="AB19" i="95"/>
  <c r="AC19" i="95" s="1"/>
  <c r="AK18" i="95"/>
  <c r="AO18" i="95"/>
  <c r="AS18" i="95"/>
  <c r="AL18" i="95"/>
  <c r="AT18" i="95"/>
  <c r="AI18" i="95"/>
  <c r="AM18" i="95"/>
  <c r="AU18" i="95"/>
  <c r="AJ18" i="95"/>
  <c r="AN18" i="95"/>
  <c r="AR18" i="95"/>
  <c r="AV18" i="95"/>
  <c r="AI14" i="95"/>
  <c r="AM14" i="95"/>
  <c r="AU14" i="95"/>
  <c r="AJ14" i="95"/>
  <c r="AN14" i="95"/>
  <c r="AR14" i="95"/>
  <c r="AV14" i="95"/>
  <c r="AK14" i="95"/>
  <c r="AO14" i="95"/>
  <c r="AS14" i="95"/>
  <c r="AL14" i="95"/>
  <c r="AT14" i="95"/>
  <c r="AB15" i="95"/>
  <c r="AC15" i="95" s="1"/>
  <c r="AQ20" i="93"/>
  <c r="AR20" i="93" s="1"/>
  <c r="AQ41" i="93"/>
  <c r="AR41" i="93" s="1"/>
  <c r="AL43" i="93"/>
  <c r="AP43" i="93"/>
  <c r="AJ43" i="93"/>
  <c r="AN43" i="93"/>
  <c r="AK43" i="93"/>
  <c r="AM43" i="93"/>
  <c r="AO43" i="93"/>
  <c r="AJ46" i="93"/>
  <c r="AN46" i="93"/>
  <c r="AM46" i="93"/>
  <c r="AO46" i="93"/>
  <c r="AK46" i="93"/>
  <c r="AL46" i="93"/>
  <c r="AP46" i="93"/>
  <c r="AJ44" i="93"/>
  <c r="AN44" i="93"/>
  <c r="AL44" i="93"/>
  <c r="AP44" i="93"/>
  <c r="AM44" i="93"/>
  <c r="AO44" i="93"/>
  <c r="AK44" i="93"/>
  <c r="AQ16" i="93"/>
  <c r="AR16" i="93" s="1"/>
  <c r="AQ26" i="93"/>
  <c r="AR26" i="93" s="1"/>
  <c r="AJ45" i="93"/>
  <c r="AN45" i="93"/>
  <c r="AL45" i="93"/>
  <c r="AP45" i="93"/>
  <c r="AM45" i="93"/>
  <c r="AO45" i="93"/>
  <c r="AK45" i="93"/>
  <c r="AQ18" i="93"/>
  <c r="AR18" i="93" s="1"/>
  <c r="AM19" i="93"/>
  <c r="AJ19" i="93"/>
  <c r="AN19" i="93"/>
  <c r="AK19" i="93"/>
  <c r="AO19" i="93"/>
  <c r="AL19" i="93"/>
  <c r="AP19" i="93"/>
  <c r="AK24" i="93"/>
  <c r="AL24" i="93"/>
  <c r="AJ24" i="93"/>
  <c r="AQ42" i="93"/>
  <c r="AR42" i="93" s="1"/>
  <c r="AQ15" i="93"/>
  <c r="AR15" i="93" s="1"/>
  <c r="AQ17" i="93"/>
  <c r="AR17" i="93" s="1"/>
  <c r="AQ21" i="93"/>
  <c r="AR21" i="93" s="1"/>
  <c r="AJ25" i="93"/>
  <c r="AK25" i="93"/>
  <c r="AL14" i="93"/>
  <c r="AL47" i="93" s="1"/>
  <c r="AP14" i="93"/>
  <c r="AJ14" i="93"/>
  <c r="AN14" i="93"/>
  <c r="AN47" i="93" s="1"/>
  <c r="AK14" i="93"/>
  <c r="AO14" i="93"/>
  <c r="AM14" i="93"/>
  <c r="AQ22" i="93"/>
  <c r="AR22" i="93" s="1"/>
  <c r="AQ23" i="93"/>
  <c r="AR23" i="93" s="1"/>
  <c r="AQ74" i="92"/>
  <c r="AR74" i="92" s="1"/>
  <c r="AQ62" i="92"/>
  <c r="AR62" i="92" s="1"/>
  <c r="AQ34" i="92"/>
  <c r="AR34" i="92" s="1"/>
  <c r="AQ21" i="92"/>
  <c r="AR21" i="92" s="1"/>
  <c r="AK51" i="92"/>
  <c r="AO51" i="92"/>
  <c r="AL51" i="92"/>
  <c r="AP51" i="92"/>
  <c r="AM51" i="92"/>
  <c r="AJ51" i="92"/>
  <c r="AN51" i="92"/>
  <c r="AQ29" i="92"/>
  <c r="AR29" i="92" s="1"/>
  <c r="AC65" i="92"/>
  <c r="AD65" i="92" s="1"/>
  <c r="AK68" i="92"/>
  <c r="AO68" i="92"/>
  <c r="AJ68" i="92"/>
  <c r="AP68" i="92"/>
  <c r="AL68" i="92"/>
  <c r="AN68" i="92"/>
  <c r="AM68" i="92"/>
  <c r="AL18" i="92"/>
  <c r="AP18" i="92"/>
  <c r="AM18" i="92"/>
  <c r="AJ18" i="92"/>
  <c r="AN18" i="92"/>
  <c r="AK18" i="92"/>
  <c r="AO18" i="92"/>
  <c r="AQ38" i="92"/>
  <c r="AR38" i="92" s="1"/>
  <c r="AQ63" i="92"/>
  <c r="AR63" i="92" s="1"/>
  <c r="AC45" i="92"/>
  <c r="AD45" i="92" s="1"/>
  <c r="AJ28" i="92"/>
  <c r="AN28" i="92"/>
  <c r="AK28" i="92"/>
  <c r="AO28" i="92"/>
  <c r="AL28" i="92"/>
  <c r="AP28" i="92"/>
  <c r="AM28" i="92"/>
  <c r="AJ19" i="92"/>
  <c r="AN19" i="92"/>
  <c r="AK19" i="92"/>
  <c r="AO19" i="92"/>
  <c r="AL19" i="92"/>
  <c r="AP19" i="92"/>
  <c r="AM19" i="92"/>
  <c r="AJ41" i="92"/>
  <c r="AN41" i="92"/>
  <c r="AO41" i="92"/>
  <c r="AK41" i="92"/>
  <c r="AP41" i="92"/>
  <c r="AL41" i="92"/>
  <c r="AM41" i="92"/>
  <c r="AU22" i="94" l="1"/>
  <c r="AU28" i="94" s="1"/>
  <c r="AT28" i="94"/>
  <c r="BG21" i="97"/>
  <c r="AP20" i="97"/>
  <c r="AQ20" i="97" s="1"/>
  <c r="BG20" i="97"/>
  <c r="AM16" i="97"/>
  <c r="AI16" i="97"/>
  <c r="AL16" i="97"/>
  <c r="AS16" i="97"/>
  <c r="AO16" i="97"/>
  <c r="AK16" i="97"/>
  <c r="AJ16" i="97"/>
  <c r="AR16" i="97"/>
  <c r="BG16" i="97" s="1"/>
  <c r="AN16" i="97"/>
  <c r="AM17" i="97"/>
  <c r="AI17" i="97"/>
  <c r="AL17" i="97"/>
  <c r="AO17" i="97"/>
  <c r="AK17" i="97"/>
  <c r="AR17" i="97"/>
  <c r="BG17" i="97" s="1"/>
  <c r="AN17" i="97"/>
  <c r="AJ17" i="97"/>
  <c r="AV18" i="97"/>
  <c r="AR18" i="97"/>
  <c r="AN18" i="97"/>
  <c r="AJ18" i="97"/>
  <c r="AU18" i="97"/>
  <c r="AM18" i="97"/>
  <c r="AI18" i="97"/>
  <c r="AP18" i="97" s="1"/>
  <c r="AQ18" i="97" s="1"/>
  <c r="AT18" i="97"/>
  <c r="AL18" i="97"/>
  <c r="AS18" i="97"/>
  <c r="AO18" i="97"/>
  <c r="AK18" i="97"/>
  <c r="AP21" i="97"/>
  <c r="AQ21" i="97" s="1"/>
  <c r="AM47" i="93"/>
  <c r="AJ47" i="93"/>
  <c r="AO47" i="93"/>
  <c r="AP47" i="93"/>
  <c r="AK47" i="93"/>
  <c r="AR16" i="96"/>
  <c r="AQ16" i="96"/>
  <c r="AQ61" i="92"/>
  <c r="AR61" i="92" s="1"/>
  <c r="AQ20" i="92"/>
  <c r="AR20" i="92" s="1"/>
  <c r="AQ41" i="92"/>
  <c r="AR41" i="92" s="1"/>
  <c r="AQ18" i="92"/>
  <c r="AR18" i="92" s="1"/>
  <c r="BG14" i="95"/>
  <c r="AK15" i="95"/>
  <c r="AO15" i="95"/>
  <c r="AS15" i="95"/>
  <c r="AL15" i="95"/>
  <c r="AT15" i="95"/>
  <c r="AI15" i="95"/>
  <c r="AM15" i="95"/>
  <c r="AU15" i="95"/>
  <c r="AJ15" i="95"/>
  <c r="AN15" i="95"/>
  <c r="AR15" i="95"/>
  <c r="AV15" i="95"/>
  <c r="AP14" i="95"/>
  <c r="AQ14" i="95" s="1"/>
  <c r="BH14" i="95" s="1"/>
  <c r="AP17" i="95"/>
  <c r="AL19" i="95"/>
  <c r="AI19" i="95"/>
  <c r="AM19" i="95"/>
  <c r="AJ19" i="95"/>
  <c r="AN19" i="95"/>
  <c r="AR19" i="95"/>
  <c r="BG19" i="95" s="1"/>
  <c r="AK19" i="95"/>
  <c r="AO19" i="95"/>
  <c r="AS19" i="95"/>
  <c r="AI20" i="95"/>
  <c r="AM20" i="95"/>
  <c r="AU20" i="95"/>
  <c r="AJ20" i="95"/>
  <c r="AN20" i="95"/>
  <c r="AR20" i="95"/>
  <c r="AV20" i="95"/>
  <c r="AK20" i="95"/>
  <c r="AO20" i="95"/>
  <c r="AS20" i="95"/>
  <c r="AL20" i="95"/>
  <c r="AT20" i="95"/>
  <c r="BG21" i="95"/>
  <c r="BG18" i="95"/>
  <c r="AP21" i="95"/>
  <c r="AQ21" i="95" s="1"/>
  <c r="AP18" i="95"/>
  <c r="AQ18" i="95" s="1"/>
  <c r="AB16" i="95"/>
  <c r="AC16" i="95" s="1"/>
  <c r="AQ14" i="93"/>
  <c r="AQ25" i="93"/>
  <c r="AR25" i="93" s="1"/>
  <c r="AQ24" i="93"/>
  <c r="AR24" i="93" s="1"/>
  <c r="AQ19" i="93"/>
  <c r="AR19" i="93" s="1"/>
  <c r="AQ45" i="93"/>
  <c r="AR45" i="93" s="1"/>
  <c r="AQ46" i="93"/>
  <c r="AR46" i="93" s="1"/>
  <c r="AQ44" i="93"/>
  <c r="AR44" i="93" s="1"/>
  <c r="AQ43" i="93"/>
  <c r="AR43" i="93" s="1"/>
  <c r="AK45" i="92"/>
  <c r="AO45" i="92"/>
  <c r="AO75" i="92" s="1"/>
  <c r="AO80" i="92" s="1"/>
  <c r="AL45" i="92"/>
  <c r="AP45" i="92"/>
  <c r="AM45" i="92"/>
  <c r="AJ45" i="92"/>
  <c r="AN45" i="92"/>
  <c r="AQ68" i="92"/>
  <c r="AR68" i="92" s="1"/>
  <c r="AQ51" i="92"/>
  <c r="AR51" i="92" s="1"/>
  <c r="AQ28" i="92"/>
  <c r="AR28" i="92" s="1"/>
  <c r="AQ19" i="92"/>
  <c r="AR19" i="92" s="1"/>
  <c r="AJ65" i="92"/>
  <c r="AN65" i="92"/>
  <c r="AK65" i="92"/>
  <c r="AO65" i="92"/>
  <c r="AL65" i="92"/>
  <c r="AM65" i="92"/>
  <c r="AM75" i="92" s="1"/>
  <c r="AP65" i="92"/>
  <c r="BH21" i="95" l="1"/>
  <c r="BH21" i="97"/>
  <c r="BG18" i="97"/>
  <c r="BG25" i="97" s="1"/>
  <c r="AP17" i="97"/>
  <c r="AQ17" i="97" s="1"/>
  <c r="BH20" i="97"/>
  <c r="AP16" i="97"/>
  <c r="AQ16" i="97" s="1"/>
  <c r="AQ47" i="93"/>
  <c r="AR14" i="93"/>
  <c r="AR47" i="93" s="1"/>
  <c r="AP75" i="92"/>
  <c r="AK75" i="92"/>
  <c r="AN75" i="92"/>
  <c r="AL75" i="92"/>
  <c r="AP20" i="95"/>
  <c r="AQ20" i="95" s="1"/>
  <c r="BH18" i="95"/>
  <c r="BG15" i="95"/>
  <c r="AP15" i="95"/>
  <c r="AQ15" i="95" s="1"/>
  <c r="AL16" i="95"/>
  <c r="AI16" i="95"/>
  <c r="AM16" i="95"/>
  <c r="AJ16" i="95"/>
  <c r="AN16" i="95"/>
  <c r="AR16" i="95"/>
  <c r="BG16" i="95" s="1"/>
  <c r="AK16" i="95"/>
  <c r="AO16" i="95"/>
  <c r="BG20" i="95"/>
  <c r="AP19" i="95"/>
  <c r="AQ19" i="95" s="1"/>
  <c r="AQ65" i="92"/>
  <c r="AR65" i="92" s="1"/>
  <c r="AJ75" i="92"/>
  <c r="AQ45" i="92"/>
  <c r="AR45" i="92" s="1"/>
  <c r="BH18" i="97" l="1"/>
  <c r="BH25" i="97" s="1"/>
  <c r="AR75" i="92"/>
  <c r="AQ75" i="92"/>
  <c r="BH15" i="95"/>
  <c r="AP16" i="95"/>
  <c r="AQ16" i="95" s="1"/>
  <c r="BH20" i="95"/>
  <c r="AQ21" i="73" l="1"/>
  <c r="AP21" i="73"/>
  <c r="AC21" i="73"/>
  <c r="AB21" i="73"/>
  <c r="AA21" i="73"/>
  <c r="M21" i="73"/>
  <c r="J21" i="73"/>
  <c r="L21" i="73" s="1"/>
  <c r="I21" i="73"/>
  <c r="H21" i="73"/>
  <c r="AA15" i="90"/>
  <c r="Z15" i="90"/>
  <c r="J15" i="90"/>
  <c r="L15" i="90" s="1"/>
  <c r="H15" i="90"/>
  <c r="M15" i="90" s="1"/>
  <c r="AS15" i="81"/>
  <c r="AQ15" i="81"/>
  <c r="AC15" i="81"/>
  <c r="H15" i="81"/>
  <c r="AD15" i="81" s="1"/>
  <c r="AE15" i="81" s="1"/>
  <c r="J15" i="81"/>
  <c r="L15" i="81" s="1"/>
  <c r="AP24" i="66"/>
  <c r="AN24" i="66"/>
  <c r="AA24" i="66"/>
  <c r="Z24" i="66"/>
  <c r="J24" i="66"/>
  <c r="L24" i="66" s="1"/>
  <c r="H24" i="66"/>
  <c r="M24" i="66" s="1"/>
  <c r="AO21" i="73" l="1"/>
  <c r="P21" i="73"/>
  <c r="O21" i="73" s="1"/>
  <c r="K21" i="73"/>
  <c r="P15" i="90"/>
  <c r="O15" i="90" s="1"/>
  <c r="K15" i="90"/>
  <c r="AB15" i="90" s="1"/>
  <c r="I15" i="90"/>
  <c r="I15" i="81"/>
  <c r="K15" i="81"/>
  <c r="P15" i="81"/>
  <c r="M15" i="81"/>
  <c r="P24" i="66"/>
  <c r="K24" i="66"/>
  <c r="O24" i="66" s="1"/>
  <c r="Q24" i="66"/>
  <c r="I24" i="66"/>
  <c r="AP53" i="57"/>
  <c r="Z53" i="57"/>
  <c r="J53" i="57"/>
  <c r="L53" i="57" s="1"/>
  <c r="H53" i="57"/>
  <c r="AA53" i="57" s="1"/>
  <c r="AB53" i="57" s="1"/>
  <c r="AP41" i="62"/>
  <c r="Z41" i="62"/>
  <c r="J41" i="62"/>
  <c r="L41" i="62" s="1"/>
  <c r="H41" i="62"/>
  <c r="AA41" i="62" s="1"/>
  <c r="AB41" i="62" s="1"/>
  <c r="T24" i="61"/>
  <c r="Z24" i="61"/>
  <c r="M24" i="61"/>
  <c r="J24" i="61"/>
  <c r="L24" i="61" s="1"/>
  <c r="H24" i="61"/>
  <c r="Z29" i="60"/>
  <c r="T29" i="60"/>
  <c r="J29" i="60"/>
  <c r="L29" i="60" s="1"/>
  <c r="H29" i="60"/>
  <c r="I29" i="60" s="1"/>
  <c r="T34" i="76"/>
  <c r="AS34" i="76" s="1"/>
  <c r="AC34" i="76"/>
  <c r="J34" i="76"/>
  <c r="L34" i="76" s="1"/>
  <c r="H34" i="76"/>
  <c r="AP36" i="57"/>
  <c r="Z36" i="57"/>
  <c r="J36" i="57"/>
  <c r="L36" i="57" s="1"/>
  <c r="H36" i="57"/>
  <c r="AA36" i="57" s="1"/>
  <c r="AB36" i="57" s="1"/>
  <c r="AP35" i="57"/>
  <c r="Z35" i="57"/>
  <c r="J35" i="57"/>
  <c r="L35" i="57" s="1"/>
  <c r="H35" i="57"/>
  <c r="AA35" i="57" s="1"/>
  <c r="T15" i="91"/>
  <c r="AP15" i="91" s="1"/>
  <c r="AP16" i="91" s="1"/>
  <c r="AH16" i="91"/>
  <c r="Z15" i="91"/>
  <c r="L15" i="91"/>
  <c r="P15" i="91" s="1"/>
  <c r="O15" i="91" s="1"/>
  <c r="H15" i="91"/>
  <c r="K15" i="91" s="1"/>
  <c r="AP18" i="90"/>
  <c r="AH19" i="90"/>
  <c r="Z18" i="90"/>
  <c r="L18" i="90"/>
  <c r="P18" i="90" s="1"/>
  <c r="O18" i="90" s="1"/>
  <c r="I18" i="90"/>
  <c r="H18" i="90"/>
  <c r="AA18" i="90" s="1"/>
  <c r="T25" i="73"/>
  <c r="AA25" i="73"/>
  <c r="L25" i="73"/>
  <c r="P25" i="73" s="1"/>
  <c r="O25" i="73" s="1"/>
  <c r="H25" i="73"/>
  <c r="I25" i="73" s="1"/>
  <c r="AP18" i="88"/>
  <c r="AB18" i="88"/>
  <c r="AA18" i="88"/>
  <c r="Z18" i="88"/>
  <c r="L18" i="88"/>
  <c r="H18" i="88"/>
  <c r="M18" i="88" s="1"/>
  <c r="AN24" i="78"/>
  <c r="AC24" i="78"/>
  <c r="M24" i="78"/>
  <c r="I24" i="78"/>
  <c r="H24" i="78"/>
  <c r="AD24" i="78" s="1"/>
  <c r="AE24" i="78" s="1"/>
  <c r="AR18" i="86"/>
  <c r="AQ18" i="86"/>
  <c r="AE18" i="86"/>
  <c r="AD18" i="86"/>
  <c r="AC18" i="86"/>
  <c r="J18" i="86"/>
  <c r="L18" i="86" s="1"/>
  <c r="P18" i="86" s="1"/>
  <c r="O18" i="86" s="1"/>
  <c r="H18" i="86"/>
  <c r="M18" i="86" s="1"/>
  <c r="AC22" i="81"/>
  <c r="J22" i="81"/>
  <c r="L22" i="81" s="1"/>
  <c r="H22" i="81"/>
  <c r="M22" i="81" s="1"/>
  <c r="AR22" i="80"/>
  <c r="AS22" i="80" s="1"/>
  <c r="AQ22" i="80"/>
  <c r="AE22" i="80"/>
  <c r="AD22" i="80"/>
  <c r="AC22" i="80"/>
  <c r="J22" i="80"/>
  <c r="L22" i="80" s="1"/>
  <c r="H22" i="80"/>
  <c r="Z21" i="66"/>
  <c r="M21" i="66"/>
  <c r="J21" i="66"/>
  <c r="I21" i="66" s="1"/>
  <c r="H21" i="66"/>
  <c r="AA21" i="66" s="1"/>
  <c r="AB21" i="66" s="1"/>
  <c r="AN21" i="66" s="1"/>
  <c r="AO21" i="66" s="1"/>
  <c r="AP21" i="66" s="1"/>
  <c r="Z18" i="87"/>
  <c r="J18" i="87"/>
  <c r="L18" i="87" s="1"/>
  <c r="H18" i="87"/>
  <c r="AA18" i="87" s="1"/>
  <c r="AB18" i="87" s="1"/>
  <c r="AN18" i="87" s="1"/>
  <c r="AO18" i="87" s="1"/>
  <c r="AP18" i="87" s="1"/>
  <c r="AA21" i="63"/>
  <c r="AB21" i="63" s="1"/>
  <c r="AN21" i="63" s="1"/>
  <c r="AO21" i="63" s="1"/>
  <c r="AP21" i="63" s="1"/>
  <c r="Z21" i="63"/>
  <c r="J21" i="63"/>
  <c r="L21" i="63" s="1"/>
  <c r="H21" i="63"/>
  <c r="M21" i="63" s="1"/>
  <c r="T25" i="61"/>
  <c r="Z25" i="61"/>
  <c r="M25" i="61"/>
  <c r="J25" i="61"/>
  <c r="I25" i="61" s="1"/>
  <c r="H25" i="61"/>
  <c r="AA25" i="61" s="1"/>
  <c r="AB25" i="61" s="1"/>
  <c r="AN25" i="61" s="1"/>
  <c r="AO25" i="61" s="1"/>
  <c r="AO34" i="62"/>
  <c r="AN34" i="62"/>
  <c r="T34" i="62"/>
  <c r="O15" i="81" l="1"/>
  <c r="Q15" i="81" s="1"/>
  <c r="M29" i="60"/>
  <c r="AA29" i="60"/>
  <c r="AB29" i="60" s="1"/>
  <c r="AO15" i="90"/>
  <c r="AP15" i="90" s="1"/>
  <c r="AN15" i="90"/>
  <c r="K25" i="73"/>
  <c r="AD22" i="81"/>
  <c r="AE22" i="81" s="1"/>
  <c r="AQ22" i="81" s="1"/>
  <c r="AB24" i="66"/>
  <c r="AO24" i="66" s="1"/>
  <c r="P53" i="57"/>
  <c r="O53" i="57" s="1"/>
  <c r="K53" i="57"/>
  <c r="I53" i="57"/>
  <c r="M53" i="57"/>
  <c r="P41" i="62"/>
  <c r="O41" i="62" s="1"/>
  <c r="K41" i="62"/>
  <c r="I41" i="62"/>
  <c r="M41" i="62"/>
  <c r="I24" i="61"/>
  <c r="P24" i="61"/>
  <c r="O24" i="61" s="1"/>
  <c r="Q24" i="61" s="1"/>
  <c r="K24" i="61"/>
  <c r="AA24" i="61"/>
  <c r="AB24" i="61" s="1"/>
  <c r="AO24" i="61" s="1"/>
  <c r="AP24" i="61" s="1"/>
  <c r="K29" i="60"/>
  <c r="P29" i="60"/>
  <c r="O29" i="60" s="1"/>
  <c r="Q29" i="60" s="1"/>
  <c r="AP29" i="60"/>
  <c r="AD34" i="76"/>
  <c r="AE34" i="76" s="1"/>
  <c r="AP34" i="76"/>
  <c r="P34" i="76"/>
  <c r="O34" i="76" s="1"/>
  <c r="K34" i="76"/>
  <c r="I34" i="76"/>
  <c r="M34" i="76"/>
  <c r="P36" i="57"/>
  <c r="O36" i="57" s="1"/>
  <c r="K36" i="57"/>
  <c r="I36" i="57"/>
  <c r="M36" i="57"/>
  <c r="AB35" i="57"/>
  <c r="P35" i="57"/>
  <c r="O35" i="57" s="1"/>
  <c r="K35" i="57"/>
  <c r="I35" i="57"/>
  <c r="M35" i="57"/>
  <c r="M15" i="91"/>
  <c r="AA15" i="91"/>
  <c r="AB15" i="91" s="1"/>
  <c r="I15" i="91"/>
  <c r="AB18" i="90"/>
  <c r="M18" i="90"/>
  <c r="K18" i="90"/>
  <c r="AB25" i="73"/>
  <c r="AC25" i="73" s="1"/>
  <c r="AO25" i="73" s="1"/>
  <c r="AP25" i="73" s="1"/>
  <c r="AQ25" i="73" s="1"/>
  <c r="M25" i="73"/>
  <c r="P18" i="88"/>
  <c r="O18" i="88" s="1"/>
  <c r="K18" i="88"/>
  <c r="I18" i="88"/>
  <c r="AM24" i="78"/>
  <c r="L24" i="78"/>
  <c r="K18" i="86"/>
  <c r="U18" i="86"/>
  <c r="Z18" i="86" s="1"/>
  <c r="I18" i="86"/>
  <c r="P22" i="81"/>
  <c r="O22" i="81" s="1"/>
  <c r="Q22" i="81" s="1"/>
  <c r="K22" i="81"/>
  <c r="I22" i="81"/>
  <c r="P22" i="80"/>
  <c r="O22" i="80" s="1"/>
  <c r="K22" i="80"/>
  <c r="I22" i="80"/>
  <c r="M22" i="80"/>
  <c r="Q22" i="80" s="1"/>
  <c r="L21" i="66"/>
  <c r="P18" i="87"/>
  <c r="O18" i="87" s="1"/>
  <c r="K18" i="87"/>
  <c r="M18" i="87"/>
  <c r="I18" i="87"/>
  <c r="K21" i="63"/>
  <c r="P21" i="63"/>
  <c r="O21" i="63" s="1"/>
  <c r="Q21" i="63" s="1"/>
  <c r="I21" i="63"/>
  <c r="AP25" i="61"/>
  <c r="L25" i="61"/>
  <c r="AS22" i="81" l="1"/>
  <c r="AQ60" i="81"/>
  <c r="AR67" i="81" s="1"/>
  <c r="AR68" i="81" s="1"/>
  <c r="Q34" i="76"/>
  <c r="Q36" i="57"/>
  <c r="Q35" i="57"/>
  <c r="P24" i="78"/>
  <c r="O24" i="78" s="1"/>
  <c r="Q24" i="78" s="1"/>
  <c r="K24" i="78"/>
  <c r="P21" i="66"/>
  <c r="O21" i="66" s="1"/>
  <c r="Q21" i="66" s="1"/>
  <c r="K21" i="66"/>
  <c r="Q18" i="87"/>
  <c r="P25" i="61"/>
  <c r="O25" i="61" s="1"/>
  <c r="Q25" i="61" s="1"/>
  <c r="K25" i="61"/>
  <c r="AN30" i="60" l="1"/>
  <c r="AO30" i="60" s="1"/>
  <c r="AP30" i="60" s="1"/>
  <c r="Z30" i="60"/>
  <c r="J30" i="60"/>
  <c r="L30" i="60" s="1"/>
  <c r="H30" i="60"/>
  <c r="M30" i="60" s="1"/>
  <c r="AP34" i="62"/>
  <c r="Z34" i="62"/>
  <c r="AA34" i="62"/>
  <c r="AB34" i="62" s="1"/>
  <c r="H35" i="62"/>
  <c r="I35" i="62" s="1"/>
  <c r="J35" i="62"/>
  <c r="L35" i="62" s="1"/>
  <c r="Z35" i="62"/>
  <c r="AO35" i="62"/>
  <c r="AP35" i="62"/>
  <c r="J34" i="62"/>
  <c r="L34" i="62" s="1"/>
  <c r="H34" i="62"/>
  <c r="AM15" i="89"/>
  <c r="AL15" i="89"/>
  <c r="Z15" i="89"/>
  <c r="Y15" i="89"/>
  <c r="X15" i="89"/>
  <c r="J15" i="89"/>
  <c r="L15" i="89" s="1"/>
  <c r="H15" i="89"/>
  <c r="M15" i="89" s="1"/>
  <c r="AN48" i="62"/>
  <c r="AO48" i="62" s="1"/>
  <c r="AP48" i="62" s="1"/>
  <c r="Z48" i="62"/>
  <c r="J48" i="62"/>
  <c r="L48" i="62" s="1"/>
  <c r="H48" i="62"/>
  <c r="M48" i="62" s="1"/>
  <c r="AH49" i="62"/>
  <c r="AN26" i="60"/>
  <c r="AA30" i="60" l="1"/>
  <c r="AB30" i="60" s="1"/>
  <c r="AN48" i="60"/>
  <c r="P30" i="60"/>
  <c r="O30" i="60" s="1"/>
  <c r="Q30" i="60" s="1"/>
  <c r="K30" i="60"/>
  <c r="I30" i="60"/>
  <c r="K35" i="62"/>
  <c r="P35" i="62"/>
  <c r="O35" i="62" s="1"/>
  <c r="M35" i="62"/>
  <c r="AA35" i="62" s="1"/>
  <c r="AB35" i="62" s="1"/>
  <c r="AA48" i="62"/>
  <c r="P34" i="62"/>
  <c r="O34" i="62" s="1"/>
  <c r="K34" i="62"/>
  <c r="I34" i="62"/>
  <c r="M34" i="62"/>
  <c r="U15" i="89"/>
  <c r="P15" i="89"/>
  <c r="O15" i="89" s="1"/>
  <c r="K15" i="89"/>
  <c r="I15" i="89"/>
  <c r="K48" i="62"/>
  <c r="AB48" i="62" s="1"/>
  <c r="P48" i="62"/>
  <c r="O48" i="62" s="1"/>
  <c r="I48" i="62"/>
  <c r="Z25" i="60"/>
  <c r="J25" i="60"/>
  <c r="L25" i="60" s="1"/>
  <c r="H25" i="60"/>
  <c r="M25" i="60" s="1"/>
  <c r="AP15" i="60"/>
  <c r="Z15" i="60"/>
  <c r="L15" i="60"/>
  <c r="P15" i="60" s="1"/>
  <c r="I15" i="60"/>
  <c r="H15" i="60"/>
  <c r="M15" i="60" s="1"/>
  <c r="AB15" i="88"/>
  <c r="AA15" i="88"/>
  <c r="AH19" i="88"/>
  <c r="AP15" i="88"/>
  <c r="AO15" i="88"/>
  <c r="Z15" i="88"/>
  <c r="P15" i="88"/>
  <c r="L15" i="88"/>
  <c r="K15" i="88"/>
  <c r="I15" i="88"/>
  <c r="H15" i="88"/>
  <c r="M15" i="88" s="1"/>
  <c r="Z59" i="57"/>
  <c r="J59" i="57"/>
  <c r="I59" i="57" s="1"/>
  <c r="H59" i="57"/>
  <c r="M59" i="57" s="1"/>
  <c r="AP15" i="87"/>
  <c r="AA15" i="87"/>
  <c r="Z15" i="87"/>
  <c r="L15" i="87"/>
  <c r="H15" i="87"/>
  <c r="M15" i="87" s="1"/>
  <c r="AC20" i="85"/>
  <c r="Q34" i="62" l="1"/>
  <c r="P25" i="60"/>
  <c r="O25" i="60" s="1"/>
  <c r="Q25" i="60" s="1"/>
  <c r="K25" i="60"/>
  <c r="AA25" i="60" s="1"/>
  <c r="AB25" i="60" s="1"/>
  <c r="AH25" i="60" s="1"/>
  <c r="AO25" i="60" s="1"/>
  <c r="AP25" i="60" s="1"/>
  <c r="I25" i="60"/>
  <c r="K15" i="60"/>
  <c r="O15" i="60" s="1"/>
  <c r="Q15" i="60" s="1"/>
  <c r="O15" i="88"/>
  <c r="Q15" i="88" s="1"/>
  <c r="L59" i="57"/>
  <c r="P15" i="87"/>
  <c r="K15" i="87"/>
  <c r="O15" i="87" s="1"/>
  <c r="Q15" i="87" s="1"/>
  <c r="I15" i="87"/>
  <c r="AS15" i="86"/>
  <c r="AD15" i="86"/>
  <c r="Z15" i="86"/>
  <c r="H15" i="86"/>
  <c r="AP19" i="86"/>
  <c r="AJ19" i="86"/>
  <c r="AI19" i="86"/>
  <c r="AH19" i="86"/>
  <c r="AG19" i="86"/>
  <c r="AF19" i="86"/>
  <c r="AC15" i="86"/>
  <c r="L15" i="86"/>
  <c r="AO40" i="60"/>
  <c r="AP40" i="60" s="1"/>
  <c r="Z40" i="60"/>
  <c r="J40" i="60"/>
  <c r="L40" i="60" s="1"/>
  <c r="H40" i="60"/>
  <c r="M40" i="60" s="1"/>
  <c r="AP38" i="61"/>
  <c r="AA38" i="61"/>
  <c r="L38" i="61"/>
  <c r="P38" i="61" s="1"/>
  <c r="O38" i="61" s="1"/>
  <c r="AO38" i="61"/>
  <c r="Z38" i="61"/>
  <c r="H38" i="61"/>
  <c r="AA40" i="60" l="1"/>
  <c r="AA15" i="60"/>
  <c r="AB15" i="60"/>
  <c r="K59" i="57"/>
  <c r="P59" i="57"/>
  <c r="AB15" i="87"/>
  <c r="AO15" i="87" s="1"/>
  <c r="M15" i="86"/>
  <c r="P15" i="86"/>
  <c r="K15" i="86"/>
  <c r="I15" i="86"/>
  <c r="P40" i="60"/>
  <c r="O40" i="60" s="1"/>
  <c r="K40" i="60"/>
  <c r="I40" i="60"/>
  <c r="I38" i="61"/>
  <c r="M38" i="61"/>
  <c r="K38" i="61"/>
  <c r="AB38" i="61" s="1"/>
  <c r="AB40" i="60" l="1"/>
  <c r="O59" i="57"/>
  <c r="Q59" i="57" s="1"/>
  <c r="AA59" i="57"/>
  <c r="AB59" i="57" s="1"/>
  <c r="AH59" i="57" s="1"/>
  <c r="AO59" i="57" s="1"/>
  <c r="AP59" i="57" s="1"/>
  <c r="O15" i="86"/>
  <c r="Q15" i="86" s="1"/>
  <c r="AH19" i="87" l="1"/>
  <c r="AE15" i="86" l="1"/>
  <c r="AL23" i="80"/>
  <c r="AM23" i="80"/>
  <c r="AN23" i="80"/>
  <c r="AO23" i="80"/>
  <c r="AP23" i="80"/>
  <c r="AQ23" i="80"/>
  <c r="AK23" i="80"/>
  <c r="Z23" i="80"/>
  <c r="Y23" i="80"/>
  <c r="H23" i="80"/>
  <c r="J23" i="80"/>
  <c r="L23" i="80" s="1"/>
  <c r="K23" i="80" s="1"/>
  <c r="AC23" i="80"/>
  <c r="Z41" i="60"/>
  <c r="J41" i="60"/>
  <c r="L41" i="60" s="1"/>
  <c r="H41" i="60"/>
  <c r="M41" i="60" s="1"/>
  <c r="AK20" i="57"/>
  <c r="AL20" i="57"/>
  <c r="AM20" i="57"/>
  <c r="AN20" i="57"/>
  <c r="AP20" i="57"/>
  <c r="H20" i="57"/>
  <c r="J20" i="57"/>
  <c r="L20" i="57" s="1"/>
  <c r="Z20" i="57"/>
  <c r="Z55" i="57"/>
  <c r="J55" i="57"/>
  <c r="L55" i="57" s="1"/>
  <c r="H55" i="57"/>
  <c r="M55" i="57" s="1"/>
  <c r="Z52" i="57"/>
  <c r="J52" i="57"/>
  <c r="L52" i="57" s="1"/>
  <c r="H52" i="57"/>
  <c r="I52" i="57" s="1"/>
  <c r="Z51" i="57"/>
  <c r="J51" i="57"/>
  <c r="L51" i="57" s="1"/>
  <c r="P51" i="57" s="1"/>
  <c r="H51" i="57"/>
  <c r="M51" i="57" s="1"/>
  <c r="M52" i="57" l="1"/>
  <c r="AK19" i="86"/>
  <c r="AR15" i="86"/>
  <c r="I23" i="80"/>
  <c r="M23" i="80"/>
  <c r="P23" i="80"/>
  <c r="P41" i="60"/>
  <c r="O41" i="60" s="1"/>
  <c r="K41" i="60"/>
  <c r="AO41" i="60" s="1"/>
  <c r="AP41" i="60" s="1"/>
  <c r="I41" i="60"/>
  <c r="I20" i="57"/>
  <c r="P20" i="57"/>
  <c r="K20" i="57"/>
  <c r="M20" i="57"/>
  <c r="P55" i="57"/>
  <c r="K55" i="57"/>
  <c r="I55" i="57"/>
  <c r="P52" i="57"/>
  <c r="K52" i="57"/>
  <c r="I51" i="57"/>
  <c r="K51" i="57"/>
  <c r="O51" i="57" s="1"/>
  <c r="Q51" i="57" s="1"/>
  <c r="L22" i="73"/>
  <c r="AP60" i="81"/>
  <c r="AM26" i="63"/>
  <c r="AA41" i="60" l="1"/>
  <c r="AB41" i="60" s="1"/>
  <c r="AD23" i="80"/>
  <c r="AE23" i="80" s="1"/>
  <c r="AR23" i="80" s="1"/>
  <c r="AS23" i="80" s="1"/>
  <c r="O23" i="80"/>
  <c r="Q23" i="80" s="1"/>
  <c r="AA20" i="57"/>
  <c r="AB20" i="57" s="1"/>
  <c r="O20" i="57"/>
  <c r="O55" i="57"/>
  <c r="Q55" i="57" s="1"/>
  <c r="AA55" i="57"/>
  <c r="AB55" i="57" s="1"/>
  <c r="O52" i="57"/>
  <c r="Q52" i="57" s="1"/>
  <c r="AA52" i="57"/>
  <c r="AB52" i="57" s="1"/>
  <c r="AH52" i="57" s="1"/>
  <c r="AO52" i="57" s="1"/>
  <c r="AP52" i="57" s="1"/>
  <c r="AA51" i="57"/>
  <c r="AB51" i="57" s="1"/>
  <c r="AH51" i="57" s="1"/>
  <c r="AO51" i="57" s="1"/>
  <c r="AP51" i="57" s="1"/>
  <c r="W31" i="67"/>
  <c r="AC31" i="67"/>
  <c r="AD31" i="67"/>
  <c r="AE31" i="67"/>
  <c r="AF31" i="67"/>
  <c r="AG31" i="67"/>
  <c r="AH31" i="67"/>
  <c r="AP30" i="82"/>
  <c r="AN31" i="67" l="1"/>
  <c r="AM19" i="64"/>
  <c r="AC19" i="85" l="1"/>
  <c r="AC18" i="85"/>
  <c r="J19" i="85"/>
  <c r="H19" i="85"/>
  <c r="X19" i="85" s="1"/>
  <c r="Y19" i="85" s="1"/>
  <c r="P18" i="85"/>
  <c r="J18" i="85"/>
  <c r="H18" i="85"/>
  <c r="X18" i="85" s="1"/>
  <c r="Y18" i="85" s="1"/>
  <c r="P20" i="85"/>
  <c r="J20" i="85"/>
  <c r="H20" i="85"/>
  <c r="X20" i="85" s="1"/>
  <c r="Y20" i="85" s="1"/>
  <c r="AC15" i="85"/>
  <c r="J15" i="85"/>
  <c r="H15" i="85"/>
  <c r="X15" i="85" s="1"/>
  <c r="Y15" i="85" s="1"/>
  <c r="AQ21" i="85"/>
  <c r="AP21" i="85"/>
  <c r="AJ21" i="85"/>
  <c r="AI21" i="85"/>
  <c r="AH21" i="85"/>
  <c r="AG21" i="85"/>
  <c r="AF21" i="85"/>
  <c r="Y15" i="79"/>
  <c r="Z15" i="79" s="1"/>
  <c r="AC15" i="79"/>
  <c r="V19" i="85" l="1"/>
  <c r="W19" i="85" s="1"/>
  <c r="Z19" i="85" s="1"/>
  <c r="AD19" i="85" s="1"/>
  <c r="AE19" i="85" s="1"/>
  <c r="AK19" i="85" s="1"/>
  <c r="AR19" i="85" s="1"/>
  <c r="AS19" i="85" s="1"/>
  <c r="M19" i="85"/>
  <c r="V18" i="85"/>
  <c r="W18" i="85" s="1"/>
  <c r="V20" i="85"/>
  <c r="W20" i="85" s="1"/>
  <c r="Z20" i="85" s="1"/>
  <c r="M15" i="85"/>
  <c r="V15" i="85"/>
  <c r="W15" i="85" s="1"/>
  <c r="Z18" i="85"/>
  <c r="P19" i="85"/>
  <c r="K19" i="85"/>
  <c r="O19" i="85" s="1"/>
  <c r="Q19" i="85" s="1"/>
  <c r="I19" i="85"/>
  <c r="K18" i="85"/>
  <c r="I18" i="85"/>
  <c r="M18" i="85"/>
  <c r="K20" i="85"/>
  <c r="I20" i="85"/>
  <c r="M20" i="85"/>
  <c r="P15" i="85"/>
  <c r="K15" i="85"/>
  <c r="I15" i="85"/>
  <c r="AE20" i="85" l="1"/>
  <c r="AK20" i="85" s="1"/>
  <c r="AR20" i="85" s="1"/>
  <c r="AS20" i="85" s="1"/>
  <c r="AD20" i="85"/>
  <c r="Z15" i="85"/>
  <c r="Z21" i="85"/>
  <c r="AD18" i="85"/>
  <c r="AE18" i="85" s="1"/>
  <c r="AK18" i="85" s="1"/>
  <c r="AR18" i="85" s="1"/>
  <c r="AS18" i="85" s="1"/>
  <c r="O18" i="85"/>
  <c r="Q18" i="85" s="1"/>
  <c r="AD15" i="85"/>
  <c r="AE15" i="85" s="1"/>
  <c r="AK15" i="85" s="1"/>
  <c r="O20" i="85"/>
  <c r="Q20" i="85" s="1"/>
  <c r="O15" i="85"/>
  <c r="Q15" i="85" s="1"/>
  <c r="V21" i="85"/>
  <c r="AR15" i="85" l="1"/>
  <c r="AK21" i="85"/>
  <c r="W21" i="85"/>
  <c r="AQ19" i="84"/>
  <c r="AP19" i="84"/>
  <c r="AJ19" i="84"/>
  <c r="AI19" i="84"/>
  <c r="AH19" i="84"/>
  <c r="AG19" i="84"/>
  <c r="AF19" i="84"/>
  <c r="AC18" i="84"/>
  <c r="J18" i="84"/>
  <c r="L18" i="84" s="1"/>
  <c r="P18" i="84" s="1"/>
  <c r="H18" i="84"/>
  <c r="M18" i="84" s="1"/>
  <c r="AC15" i="84"/>
  <c r="J15" i="84"/>
  <c r="L15" i="84" s="1"/>
  <c r="H15" i="84"/>
  <c r="M15" i="84" s="1"/>
  <c r="AC24" i="83"/>
  <c r="AC21" i="83"/>
  <c r="AC18" i="83"/>
  <c r="J24" i="83"/>
  <c r="L24" i="83" s="1"/>
  <c r="P24" i="83" s="1"/>
  <c r="H24" i="83"/>
  <c r="M24" i="83" s="1"/>
  <c r="J21" i="83"/>
  <c r="L21" i="83" s="1"/>
  <c r="P21" i="83" s="1"/>
  <c r="H21" i="83"/>
  <c r="J18" i="83"/>
  <c r="L18" i="83" s="1"/>
  <c r="H18" i="83"/>
  <c r="M18" i="83" s="1"/>
  <c r="AC15" i="83"/>
  <c r="J15" i="83"/>
  <c r="L15" i="83" s="1"/>
  <c r="H15" i="83"/>
  <c r="M15" i="83" s="1"/>
  <c r="AQ25" i="83"/>
  <c r="AP25" i="83"/>
  <c r="AJ25" i="83"/>
  <c r="AI25" i="83"/>
  <c r="AH25" i="83"/>
  <c r="AG25" i="83"/>
  <c r="AF25" i="83"/>
  <c r="AC29" i="82"/>
  <c r="X29" i="82"/>
  <c r="Y29" i="82" s="1"/>
  <c r="W29" i="82"/>
  <c r="Z29" i="82" s="1"/>
  <c r="V29" i="82"/>
  <c r="J29" i="82"/>
  <c r="L29" i="82" s="1"/>
  <c r="H29" i="82"/>
  <c r="M29" i="82" s="1"/>
  <c r="AC28" i="82"/>
  <c r="V28" i="82"/>
  <c r="W28" i="82" s="1"/>
  <c r="J28" i="82"/>
  <c r="L28" i="82" s="1"/>
  <c r="H28" i="82"/>
  <c r="M28" i="82" s="1"/>
  <c r="AC25" i="82"/>
  <c r="V25" i="82"/>
  <c r="W25" i="82" s="1"/>
  <c r="J25" i="82"/>
  <c r="L25" i="82" s="1"/>
  <c r="H25" i="82"/>
  <c r="M25" i="82" s="1"/>
  <c r="AC21" i="82"/>
  <c r="V21" i="82"/>
  <c r="W21" i="82" s="1"/>
  <c r="J21" i="82"/>
  <c r="L21" i="82" s="1"/>
  <c r="H21" i="82"/>
  <c r="M21" i="82" s="1"/>
  <c r="AC20" i="82"/>
  <c r="V20" i="82"/>
  <c r="W20" i="82" s="1"/>
  <c r="M20" i="82"/>
  <c r="J20" i="82"/>
  <c r="L20" i="82" s="1"/>
  <c r="H20" i="82"/>
  <c r="AC17" i="82"/>
  <c r="V17" i="82"/>
  <c r="W17" i="82" s="1"/>
  <c r="J17" i="82"/>
  <c r="L17" i="82" s="1"/>
  <c r="K17" i="82" s="1"/>
  <c r="H17" i="82"/>
  <c r="M17" i="82" s="1"/>
  <c r="AC16" i="82"/>
  <c r="V16" i="82"/>
  <c r="W16" i="82" s="1"/>
  <c r="J16" i="82"/>
  <c r="H16" i="82"/>
  <c r="M16" i="82" s="1"/>
  <c r="AC15" i="82"/>
  <c r="V15" i="82"/>
  <c r="W15" i="82" s="1"/>
  <c r="J15" i="82"/>
  <c r="L15" i="82" s="1"/>
  <c r="H15" i="82"/>
  <c r="M15" i="82" s="1"/>
  <c r="V22" i="82"/>
  <c r="W22" i="82" s="1"/>
  <c r="V19" i="82"/>
  <c r="W19" i="82" s="1"/>
  <c r="V18" i="82"/>
  <c r="W18" i="82" s="1"/>
  <c r="AC19" i="82"/>
  <c r="J19" i="82"/>
  <c r="L19" i="82" s="1"/>
  <c r="H19" i="82"/>
  <c r="M19" i="82" s="1"/>
  <c r="AC18" i="82"/>
  <c r="J18" i="82"/>
  <c r="L18" i="82" s="1"/>
  <c r="P18" i="82" s="1"/>
  <c r="H18" i="82"/>
  <c r="M18" i="82" s="1"/>
  <c r="AJ30" i="82"/>
  <c r="AI30" i="82"/>
  <c r="AH30" i="82"/>
  <c r="AG30" i="82"/>
  <c r="AF30" i="82"/>
  <c r="AC22" i="82"/>
  <c r="J22" i="82"/>
  <c r="H22" i="82"/>
  <c r="M22" i="82" s="1"/>
  <c r="Y16" i="81"/>
  <c r="Z16" i="81" s="1"/>
  <c r="AC16" i="81"/>
  <c r="J16" i="81"/>
  <c r="L16" i="81" s="1"/>
  <c r="P16" i="81" s="1"/>
  <c r="H16" i="81"/>
  <c r="M16" i="81" s="1"/>
  <c r="X60" i="81"/>
  <c r="J47" i="81"/>
  <c r="L47" i="81" s="1"/>
  <c r="AC59" i="81"/>
  <c r="Y59" i="81"/>
  <c r="Z59" i="81" s="1"/>
  <c r="J59" i="81"/>
  <c r="L59" i="81" s="1"/>
  <c r="P59" i="81" s="1"/>
  <c r="H59" i="81"/>
  <c r="M59" i="81" s="1"/>
  <c r="AC58" i="81"/>
  <c r="Y58" i="81"/>
  <c r="Z58" i="81" s="1"/>
  <c r="J58" i="81"/>
  <c r="L58" i="81" s="1"/>
  <c r="H58" i="81"/>
  <c r="M58" i="81" s="1"/>
  <c r="AC55" i="81"/>
  <c r="Y55" i="81"/>
  <c r="Z55" i="81" s="1"/>
  <c r="J55" i="81"/>
  <c r="H55" i="81"/>
  <c r="M55" i="81" s="1"/>
  <c r="AC52" i="81"/>
  <c r="Y52" i="81"/>
  <c r="Z52" i="81" s="1"/>
  <c r="J52" i="81"/>
  <c r="L52" i="81" s="1"/>
  <c r="P52" i="81" s="1"/>
  <c r="H52" i="81"/>
  <c r="M52" i="81" s="1"/>
  <c r="AC51" i="81"/>
  <c r="Y51" i="81"/>
  <c r="Z51" i="81" s="1"/>
  <c r="J51" i="81"/>
  <c r="L51" i="81" s="1"/>
  <c r="P51" i="81" s="1"/>
  <c r="H51" i="81"/>
  <c r="M51" i="81" s="1"/>
  <c r="AC50" i="81"/>
  <c r="Y50" i="81"/>
  <c r="Z50" i="81" s="1"/>
  <c r="J50" i="81"/>
  <c r="L50" i="81" s="1"/>
  <c r="P50" i="81" s="1"/>
  <c r="H50" i="81"/>
  <c r="M50" i="81" s="1"/>
  <c r="AC47" i="81"/>
  <c r="Y47" i="81"/>
  <c r="Z47" i="81" s="1"/>
  <c r="H47" i="81"/>
  <c r="M47" i="81" s="1"/>
  <c r="AC46" i="81"/>
  <c r="Y46" i="81"/>
  <c r="Z46" i="81" s="1"/>
  <c r="J46" i="81"/>
  <c r="L46" i="81" s="1"/>
  <c r="P46" i="81" s="1"/>
  <c r="H46" i="81"/>
  <c r="M46" i="81" s="1"/>
  <c r="AC45" i="81"/>
  <c r="Y45" i="81"/>
  <c r="Z45" i="81" s="1"/>
  <c r="J45" i="81"/>
  <c r="L45" i="81" s="1"/>
  <c r="P45" i="81" s="1"/>
  <c r="H45" i="81"/>
  <c r="M45" i="81" s="1"/>
  <c r="AC42" i="81"/>
  <c r="Y42" i="81"/>
  <c r="Z42" i="81" s="1"/>
  <c r="J42" i="81"/>
  <c r="L42" i="81" s="1"/>
  <c r="P42" i="81" s="1"/>
  <c r="H42" i="81"/>
  <c r="M42" i="81" s="1"/>
  <c r="AC39" i="81"/>
  <c r="Y39" i="81"/>
  <c r="Z39" i="81" s="1"/>
  <c r="J39" i="81"/>
  <c r="L39" i="81" s="1"/>
  <c r="H39" i="81"/>
  <c r="M39" i="81" s="1"/>
  <c r="AC38" i="81"/>
  <c r="Y38" i="81"/>
  <c r="Z38" i="81" s="1"/>
  <c r="J38" i="81"/>
  <c r="L38" i="81" s="1"/>
  <c r="P38" i="81" s="1"/>
  <c r="H38" i="81"/>
  <c r="M38" i="81" s="1"/>
  <c r="AC37" i="81"/>
  <c r="Y37" i="81"/>
  <c r="Z37" i="81" s="1"/>
  <c r="J37" i="81"/>
  <c r="I37" i="81" s="1"/>
  <c r="H37" i="81"/>
  <c r="M37" i="81" s="1"/>
  <c r="AC19" i="81"/>
  <c r="Y19" i="81"/>
  <c r="Z19" i="81" s="1"/>
  <c r="J19" i="81"/>
  <c r="L19" i="81" s="1"/>
  <c r="P19" i="81" s="1"/>
  <c r="H19" i="81"/>
  <c r="M19" i="81" s="1"/>
  <c r="AC32" i="81"/>
  <c r="Y32" i="81"/>
  <c r="Z32" i="81" s="1"/>
  <c r="L32" i="81"/>
  <c r="P32" i="81" s="1"/>
  <c r="J32" i="81"/>
  <c r="H32" i="81"/>
  <c r="M32" i="81" s="1"/>
  <c r="AC34" i="81"/>
  <c r="Y34" i="81"/>
  <c r="Z34" i="81" s="1"/>
  <c r="J34" i="81"/>
  <c r="L34" i="81" s="1"/>
  <c r="H34" i="81"/>
  <c r="M34" i="81" s="1"/>
  <c r="AC33" i="81"/>
  <c r="Y33" i="81"/>
  <c r="Z33" i="81" s="1"/>
  <c r="J33" i="81"/>
  <c r="L33" i="81" s="1"/>
  <c r="H33" i="81"/>
  <c r="M33" i="81" s="1"/>
  <c r="AC28" i="81"/>
  <c r="Y28" i="81"/>
  <c r="Z28" i="81" s="1"/>
  <c r="J28" i="81"/>
  <c r="H28" i="81"/>
  <c r="M28" i="81" s="1"/>
  <c r="AC36" i="81"/>
  <c r="Y36" i="81"/>
  <c r="Z36" i="81" s="1"/>
  <c r="J36" i="81"/>
  <c r="H36" i="81"/>
  <c r="M36" i="81" s="1"/>
  <c r="AC35" i="81"/>
  <c r="Y35" i="81"/>
  <c r="Z35" i="81" s="1"/>
  <c r="J35" i="81"/>
  <c r="L35" i="81" s="1"/>
  <c r="H35" i="81"/>
  <c r="M35" i="81" s="1"/>
  <c r="AC25" i="81"/>
  <c r="Y25" i="81"/>
  <c r="Z25" i="81" s="1"/>
  <c r="J25" i="81"/>
  <c r="L25" i="81" s="1"/>
  <c r="H25" i="81"/>
  <c r="M25" i="81" s="1"/>
  <c r="AJ60" i="81"/>
  <c r="AI60" i="81"/>
  <c r="AH60" i="81"/>
  <c r="AG60" i="81"/>
  <c r="AF60" i="81"/>
  <c r="I36" i="81" l="1"/>
  <c r="I28" i="81"/>
  <c r="X15" i="82"/>
  <c r="Y15" i="82" s="1"/>
  <c r="Z15" i="82" s="1"/>
  <c r="X21" i="82"/>
  <c r="Y21" i="82" s="1"/>
  <c r="Z21" i="82" s="1"/>
  <c r="K34" i="81"/>
  <c r="AD34" i="81" s="1"/>
  <c r="AE34" i="81" s="1"/>
  <c r="AK34" i="81" s="1"/>
  <c r="AR34" i="81" s="1"/>
  <c r="AS34" i="81" s="1"/>
  <c r="I22" i="82"/>
  <c r="I16" i="82"/>
  <c r="X17" i="82"/>
  <c r="Y17" i="82" s="1"/>
  <c r="Z17" i="82" s="1"/>
  <c r="AD17" i="82" s="1"/>
  <c r="AE17" i="82" s="1"/>
  <c r="AK17" i="82" s="1"/>
  <c r="AR17" i="82" s="1"/>
  <c r="AS17" i="82" s="1"/>
  <c r="O17" i="82"/>
  <c r="Q17" i="82" s="1"/>
  <c r="I55" i="81"/>
  <c r="L16" i="82"/>
  <c r="X16" i="82"/>
  <c r="Y16" i="82" s="1"/>
  <c r="P17" i="82"/>
  <c r="X28" i="82"/>
  <c r="Y28" i="82" s="1"/>
  <c r="Z28" i="82" s="1"/>
  <c r="X18" i="84"/>
  <c r="I20" i="82"/>
  <c r="V30" i="82"/>
  <c r="Z25" i="82"/>
  <c r="W30" i="82"/>
  <c r="K33" i="81"/>
  <c r="I42" i="81"/>
  <c r="I17" i="82"/>
  <c r="AS15" i="85"/>
  <c r="AS21" i="85" s="1"/>
  <c r="AR21" i="85"/>
  <c r="X15" i="84"/>
  <c r="Y15" i="84" s="1"/>
  <c r="P15" i="84"/>
  <c r="K15" i="84"/>
  <c r="O15" i="84" s="1"/>
  <c r="Q15" i="84" s="1"/>
  <c r="K18" i="84"/>
  <c r="O18" i="84" s="1"/>
  <c r="Q18" i="84" s="1"/>
  <c r="I18" i="84"/>
  <c r="V18" i="84" s="1"/>
  <c r="W18" i="84" s="1"/>
  <c r="I15" i="84"/>
  <c r="V15" i="84" s="1"/>
  <c r="X15" i="83"/>
  <c r="Y15" i="83" s="1"/>
  <c r="X24" i="83"/>
  <c r="Y24" i="83" s="1"/>
  <c r="I21" i="83"/>
  <c r="W21" i="83" s="1"/>
  <c r="M21" i="83"/>
  <c r="P18" i="83"/>
  <c r="K18" i="83"/>
  <c r="O18" i="83" s="1"/>
  <c r="Q18" i="83" s="1"/>
  <c r="P15" i="83"/>
  <c r="K15" i="83"/>
  <c r="O15" i="83" s="1"/>
  <c r="Q15" i="83" s="1"/>
  <c r="I18" i="83"/>
  <c r="W18" i="83" s="1"/>
  <c r="K24" i="83"/>
  <c r="O24" i="83" s="1"/>
  <c r="Q24" i="83" s="1"/>
  <c r="I15" i="83"/>
  <c r="V15" i="83" s="1"/>
  <c r="K21" i="83"/>
  <c r="I24" i="83"/>
  <c r="V24" i="83" s="1"/>
  <c r="X25" i="82"/>
  <c r="Y25" i="82" s="1"/>
  <c r="P29" i="82"/>
  <c r="K29" i="82"/>
  <c r="O29" i="82" s="1"/>
  <c r="Q29" i="82" s="1"/>
  <c r="I29" i="82"/>
  <c r="K28" i="82"/>
  <c r="O28" i="82" s="1"/>
  <c r="Q28" i="82" s="1"/>
  <c r="P28" i="82"/>
  <c r="I28" i="82"/>
  <c r="P25" i="82"/>
  <c r="K25" i="82"/>
  <c r="O25" i="82" s="1"/>
  <c r="Q25" i="82" s="1"/>
  <c r="I25" i="82"/>
  <c r="X30" i="82"/>
  <c r="X22" i="82"/>
  <c r="Y22" i="82" s="1"/>
  <c r="Z22" i="82" s="1"/>
  <c r="P21" i="82"/>
  <c r="K21" i="82"/>
  <c r="O21" i="82" s="1"/>
  <c r="Q21" i="82" s="1"/>
  <c r="I21" i="82"/>
  <c r="X19" i="82"/>
  <c r="Y19" i="82" s="1"/>
  <c r="Z19" i="82" s="1"/>
  <c r="X18" i="82"/>
  <c r="Y18" i="82" s="1"/>
  <c r="P20" i="82"/>
  <c r="K20" i="82"/>
  <c r="O20" i="82" s="1"/>
  <c r="Q20" i="82" s="1"/>
  <c r="X20" i="82"/>
  <c r="Y20" i="82" s="1"/>
  <c r="Z20" i="82" s="1"/>
  <c r="K15" i="82"/>
  <c r="O15" i="82" s="1"/>
  <c r="Q15" i="82" s="1"/>
  <c r="P15" i="82"/>
  <c r="I15" i="82"/>
  <c r="P19" i="82"/>
  <c r="K19" i="82"/>
  <c r="O19" i="82" s="1"/>
  <c r="Q19" i="82" s="1"/>
  <c r="I19" i="82"/>
  <c r="K18" i="82"/>
  <c r="O18" i="82" s="1"/>
  <c r="Q18" i="82" s="1"/>
  <c r="I18" i="82"/>
  <c r="L22" i="82"/>
  <c r="P22" i="82" s="1"/>
  <c r="I16" i="81"/>
  <c r="K16" i="81"/>
  <c r="O16" i="81" s="1"/>
  <c r="Q16" i="81" s="1"/>
  <c r="I47" i="81"/>
  <c r="P47" i="81"/>
  <c r="K47" i="81"/>
  <c r="O47" i="81" s="1"/>
  <c r="Q47" i="81" s="1"/>
  <c r="L36" i="81"/>
  <c r="P36" i="81" s="1"/>
  <c r="K59" i="81"/>
  <c r="O59" i="81" s="1"/>
  <c r="Q59" i="81" s="1"/>
  <c r="I59" i="81"/>
  <c r="P58" i="81"/>
  <c r="K58" i="81"/>
  <c r="O58" i="81" s="1"/>
  <c r="Q58" i="81" s="1"/>
  <c r="I58" i="81"/>
  <c r="L55" i="81"/>
  <c r="K52" i="81"/>
  <c r="O52" i="81" s="1"/>
  <c r="Q52" i="81" s="1"/>
  <c r="I52" i="81"/>
  <c r="K51" i="81"/>
  <c r="O51" i="81" s="1"/>
  <c r="Q51" i="81" s="1"/>
  <c r="I51" i="81"/>
  <c r="K50" i="81"/>
  <c r="O50" i="81" s="1"/>
  <c r="Q50" i="81" s="1"/>
  <c r="I50" i="81"/>
  <c r="K46" i="81"/>
  <c r="O46" i="81" s="1"/>
  <c r="Q46" i="81" s="1"/>
  <c r="I46" i="81"/>
  <c r="K45" i="81"/>
  <c r="O45" i="81" s="1"/>
  <c r="Q45" i="81" s="1"/>
  <c r="I45" i="81"/>
  <c r="K42" i="81"/>
  <c r="O42" i="81" s="1"/>
  <c r="Q42" i="81" s="1"/>
  <c r="P39" i="81"/>
  <c r="K39" i="81"/>
  <c r="O39" i="81" s="1"/>
  <c r="Q39" i="81" s="1"/>
  <c r="I39" i="81"/>
  <c r="K38" i="81"/>
  <c r="O38" i="81" s="1"/>
  <c r="Q38" i="81" s="1"/>
  <c r="I38" i="81"/>
  <c r="L37" i="81"/>
  <c r="K19" i="81"/>
  <c r="O19" i="81" s="1"/>
  <c r="Q19" i="81" s="1"/>
  <c r="I19" i="81"/>
  <c r="K32" i="81"/>
  <c r="O32" i="81" s="1"/>
  <c r="Q32" i="81" s="1"/>
  <c r="I32" i="81"/>
  <c r="P34" i="81"/>
  <c r="I34" i="81"/>
  <c r="AD33" i="81"/>
  <c r="AE33" i="81" s="1"/>
  <c r="AK33" i="81" s="1"/>
  <c r="AR33" i="81" s="1"/>
  <c r="AS33" i="81" s="1"/>
  <c r="O33" i="81"/>
  <c r="Q33" i="81" s="1"/>
  <c r="P33" i="81"/>
  <c r="I33" i="81"/>
  <c r="L28" i="81"/>
  <c r="P35" i="81"/>
  <c r="K35" i="81"/>
  <c r="O35" i="81" s="1"/>
  <c r="Q35" i="81" s="1"/>
  <c r="P25" i="81"/>
  <c r="K25" i="81"/>
  <c r="O25" i="81" s="1"/>
  <c r="Q25" i="81" s="1"/>
  <c r="I25" i="81"/>
  <c r="I35" i="81"/>
  <c r="O34" i="81" l="1"/>
  <c r="Q34" i="81" s="1"/>
  <c r="AD59" i="81"/>
  <c r="AE59" i="81" s="1"/>
  <c r="AK59" i="81" s="1"/>
  <c r="AR59" i="81" s="1"/>
  <c r="AS59" i="81" s="1"/>
  <c r="AD32" i="81"/>
  <c r="AE32" i="81" s="1"/>
  <c r="AK32" i="81" s="1"/>
  <c r="AR32" i="81" s="1"/>
  <c r="AS32" i="81" s="1"/>
  <c r="AD45" i="81"/>
  <c r="AE45" i="81" s="1"/>
  <c r="AK45" i="81" s="1"/>
  <c r="AR45" i="81" s="1"/>
  <c r="AS45" i="81" s="1"/>
  <c r="AD46" i="81"/>
  <c r="AE46" i="81" s="1"/>
  <c r="AK46" i="81" s="1"/>
  <c r="AR46" i="81" s="1"/>
  <c r="AS46" i="81" s="1"/>
  <c r="AD42" i="81"/>
  <c r="AE42" i="81" s="1"/>
  <c r="AK42" i="81" s="1"/>
  <c r="AR42" i="81" s="1"/>
  <c r="AS42" i="81" s="1"/>
  <c r="AD58" i="81"/>
  <c r="AE58" i="81" s="1"/>
  <c r="AK58" i="81" s="1"/>
  <c r="AR58" i="81" s="1"/>
  <c r="AS58" i="81" s="1"/>
  <c r="W15" i="83"/>
  <c r="Z15" i="83" s="1"/>
  <c r="AD15" i="83" s="1"/>
  <c r="AE15" i="83" s="1"/>
  <c r="AK15" i="83" s="1"/>
  <c r="AR15" i="83" s="1"/>
  <c r="Y18" i="84"/>
  <c r="Z18" i="84" s="1"/>
  <c r="Z16" i="82"/>
  <c r="K16" i="82"/>
  <c r="O16" i="82" s="1"/>
  <c r="Q16" i="82" s="1"/>
  <c r="P16" i="82"/>
  <c r="K36" i="81"/>
  <c r="O36" i="81" s="1"/>
  <c r="Q36" i="81" s="1"/>
  <c r="AD19" i="81"/>
  <c r="AE19" i="81" s="1"/>
  <c r="AK19" i="81" s="1"/>
  <c r="AR19" i="81" s="1"/>
  <c r="AS19" i="81" s="1"/>
  <c r="AD50" i="81"/>
  <c r="AE50" i="81" s="1"/>
  <c r="AK50" i="81" s="1"/>
  <c r="AR50" i="81" s="1"/>
  <c r="AS50" i="81" s="1"/>
  <c r="Z18" i="82"/>
  <c r="AD19" i="82"/>
  <c r="AE19" i="82" s="1"/>
  <c r="AK19" i="82" s="1"/>
  <c r="AR19" i="82" s="1"/>
  <c r="AS19" i="82" s="1"/>
  <c r="AD16" i="81"/>
  <c r="AE16" i="81" s="1"/>
  <c r="AK16" i="81" s="1"/>
  <c r="AD18" i="84"/>
  <c r="AE18" i="84" s="1"/>
  <c r="AK18" i="84" s="1"/>
  <c r="AR18" i="84" s="1"/>
  <c r="V19" i="84"/>
  <c r="W15" i="84"/>
  <c r="W24" i="83"/>
  <c r="Z24" i="83" s="1"/>
  <c r="X18" i="83"/>
  <c r="Y18" i="83" s="1"/>
  <c r="Z18" i="83" s="1"/>
  <c r="X21" i="83"/>
  <c r="Y21" i="83" s="1"/>
  <c r="Z21" i="83" s="1"/>
  <c r="O21" i="83"/>
  <c r="Q21" i="83" s="1"/>
  <c r="AD21" i="82"/>
  <c r="AE21" i="82" s="1"/>
  <c r="AK21" i="82" s="1"/>
  <c r="AR21" i="82" s="1"/>
  <c r="AS21" i="82" s="1"/>
  <c r="AD29" i="82"/>
  <c r="AE29" i="82" s="1"/>
  <c r="AK29" i="82" s="1"/>
  <c r="AR29" i="82" s="1"/>
  <c r="AD28" i="82"/>
  <c r="AE28" i="82" s="1"/>
  <c r="AK28" i="82" s="1"/>
  <c r="AR28" i="82" s="1"/>
  <c r="AS28" i="82" s="1"/>
  <c r="AD25" i="82"/>
  <c r="AE25" i="82" s="1"/>
  <c r="AK25" i="82" s="1"/>
  <c r="AR25" i="82" s="1"/>
  <c r="AS25" i="82" s="1"/>
  <c r="AD20" i="82"/>
  <c r="AE20" i="82" s="1"/>
  <c r="AK20" i="82" s="1"/>
  <c r="AR20" i="82" s="1"/>
  <c r="AS20" i="82" s="1"/>
  <c r="AD15" i="82"/>
  <c r="AE15" i="82" s="1"/>
  <c r="AK15" i="82" s="1"/>
  <c r="K22" i="82"/>
  <c r="O22" i="82" s="1"/>
  <c r="Q22" i="82" s="1"/>
  <c r="AD38" i="81"/>
  <c r="AE38" i="81" s="1"/>
  <c r="AK38" i="81" s="1"/>
  <c r="AR38" i="81" s="1"/>
  <c r="AS38" i="81" s="1"/>
  <c r="AD51" i="81"/>
  <c r="AE51" i="81" s="1"/>
  <c r="AK51" i="81" s="1"/>
  <c r="AR51" i="81" s="1"/>
  <c r="AS51" i="81" s="1"/>
  <c r="AD52" i="81"/>
  <c r="AE52" i="81" s="1"/>
  <c r="AK52" i="81" s="1"/>
  <c r="AR52" i="81" s="1"/>
  <c r="AS52" i="81" s="1"/>
  <c r="AD47" i="81"/>
  <c r="AE47" i="81" s="1"/>
  <c r="AK47" i="81" s="1"/>
  <c r="AR47" i="81" s="1"/>
  <c r="AS47" i="81" s="1"/>
  <c r="K55" i="81"/>
  <c r="P55" i="81"/>
  <c r="AD39" i="81"/>
  <c r="AE39" i="81" s="1"/>
  <c r="AK39" i="81" s="1"/>
  <c r="AR39" i="81" s="1"/>
  <c r="AS39" i="81" s="1"/>
  <c r="P37" i="81"/>
  <c r="K37" i="81"/>
  <c r="P28" i="81"/>
  <c r="K28" i="81"/>
  <c r="AD35" i="81"/>
  <c r="AE35" i="81" s="1"/>
  <c r="AK35" i="81" s="1"/>
  <c r="AR35" i="81" s="1"/>
  <c r="AS35" i="81" s="1"/>
  <c r="AD25" i="81"/>
  <c r="AE25" i="81" s="1"/>
  <c r="AK25" i="81" s="1"/>
  <c r="AR25" i="81" s="1"/>
  <c r="AD36" i="81"/>
  <c r="AE36" i="81" s="1"/>
  <c r="AK36" i="81" s="1"/>
  <c r="AR36" i="81" s="1"/>
  <c r="AS36" i="81" s="1"/>
  <c r="AS29" i="82" l="1"/>
  <c r="AS30" i="82" s="1"/>
  <c r="AR30" i="82"/>
  <c r="AS25" i="81"/>
  <c r="AD16" i="82"/>
  <c r="AE16" i="82" s="1"/>
  <c r="AK16" i="82" s="1"/>
  <c r="AR16" i="82" s="1"/>
  <c r="AS16" i="82" s="1"/>
  <c r="W25" i="83"/>
  <c r="AD21" i="83"/>
  <c r="AE21" i="83" s="1"/>
  <c r="AK21" i="83" s="1"/>
  <c r="AR21" i="83" s="1"/>
  <c r="AS21" i="83" s="1"/>
  <c r="AR16" i="81"/>
  <c r="AD18" i="82"/>
  <c r="AE18" i="82" s="1"/>
  <c r="AK18" i="82" s="1"/>
  <c r="AR18" i="82" s="1"/>
  <c r="AS18" i="82" s="1"/>
  <c r="AS18" i="84"/>
  <c r="AD24" i="83"/>
  <c r="AE24" i="83" s="1"/>
  <c r="AK24" i="83" s="1"/>
  <c r="AR24" i="83" s="1"/>
  <c r="AS24" i="83" s="1"/>
  <c r="AS15" i="83"/>
  <c r="AR15" i="82"/>
  <c r="Z15" i="84"/>
  <c r="W19" i="84"/>
  <c r="AD18" i="83"/>
  <c r="AE18" i="83" s="1"/>
  <c r="AK18" i="83" s="1"/>
  <c r="AR18" i="83" s="1"/>
  <c r="AS18" i="83" s="1"/>
  <c r="Z25" i="83"/>
  <c r="AD22" i="82"/>
  <c r="AE22" i="82" s="1"/>
  <c r="AK22" i="82" s="1"/>
  <c r="AR22" i="82" s="1"/>
  <c r="AS22" i="82" s="1"/>
  <c r="O55" i="81"/>
  <c r="Q55" i="81" s="1"/>
  <c r="AD55" i="81"/>
  <c r="AE55" i="81" s="1"/>
  <c r="AK55" i="81" s="1"/>
  <c r="AR55" i="81" s="1"/>
  <c r="AS55" i="81" s="1"/>
  <c r="O37" i="81"/>
  <c r="Q37" i="81" s="1"/>
  <c r="AD37" i="81"/>
  <c r="AE37" i="81" s="1"/>
  <c r="AK37" i="81" s="1"/>
  <c r="AR37" i="81" s="1"/>
  <c r="AS37" i="81" s="1"/>
  <c r="O28" i="81"/>
  <c r="Q28" i="81" s="1"/>
  <c r="AD28" i="81"/>
  <c r="AE28" i="81" s="1"/>
  <c r="AK28" i="81" s="1"/>
  <c r="AS15" i="82" l="1"/>
  <c r="AS16" i="81"/>
  <c r="AR28" i="81"/>
  <c r="AK60" i="81"/>
  <c r="AK30" i="82"/>
  <c r="Z19" i="84"/>
  <c r="AD15" i="84"/>
  <c r="AE15" i="84" s="1"/>
  <c r="AK15" i="84" s="1"/>
  <c r="AK25" i="83"/>
  <c r="AR25" i="83"/>
  <c r="AS28" i="81" l="1"/>
  <c r="AS60" i="81" s="1"/>
  <c r="AR60" i="81"/>
  <c r="AR15" i="84"/>
  <c r="AS15" i="84" s="1"/>
  <c r="AS19" i="84" s="1"/>
  <c r="AK19" i="84"/>
  <c r="AR19" i="84" l="1"/>
  <c r="AC15" i="80" l="1"/>
  <c r="Z15" i="80"/>
  <c r="Y15" i="80"/>
  <c r="AC19" i="80"/>
  <c r="Y19" i="80"/>
  <c r="Z19" i="80" s="1"/>
  <c r="J19" i="80"/>
  <c r="L19" i="80" s="1"/>
  <c r="H19" i="80"/>
  <c r="M19" i="80" s="1"/>
  <c r="P19" i="80" l="1"/>
  <c r="K19" i="80"/>
  <c r="I19" i="80"/>
  <c r="O19" i="80" l="1"/>
  <c r="Q19" i="80" s="1"/>
  <c r="AD19" i="80"/>
  <c r="AE19" i="80" s="1"/>
  <c r="AK19" i="80" s="1"/>
  <c r="AR19" i="80" s="1"/>
  <c r="AS19" i="80" s="1"/>
  <c r="AP27" i="80" l="1"/>
  <c r="AJ27" i="80"/>
  <c r="AI27" i="80"/>
  <c r="AH27" i="80"/>
  <c r="AG27" i="80"/>
  <c r="AF27" i="80"/>
  <c r="AC26" i="80"/>
  <c r="Y26" i="80"/>
  <c r="Z26" i="80" s="1"/>
  <c r="J26" i="80"/>
  <c r="L26" i="80" s="1"/>
  <c r="H26" i="80"/>
  <c r="M26" i="80" s="1"/>
  <c r="AC18" i="80"/>
  <c r="Y18" i="80"/>
  <c r="Z18" i="80" s="1"/>
  <c r="J18" i="80"/>
  <c r="L18" i="80" s="1"/>
  <c r="P18" i="80" s="1"/>
  <c r="H18" i="80"/>
  <c r="M18" i="80" s="1"/>
  <c r="J15" i="80"/>
  <c r="L15" i="80" s="1"/>
  <c r="H15" i="80"/>
  <c r="M15" i="80" s="1"/>
  <c r="AC37" i="79"/>
  <c r="Y37" i="79"/>
  <c r="Z37" i="79" s="1"/>
  <c r="J37" i="79"/>
  <c r="L37" i="79" s="1"/>
  <c r="H37" i="79"/>
  <c r="M37" i="79" s="1"/>
  <c r="AC18" i="79"/>
  <c r="Y18" i="79"/>
  <c r="J18" i="79"/>
  <c r="L18" i="79" s="1"/>
  <c r="P18" i="79" s="1"/>
  <c r="H18" i="79"/>
  <c r="M18" i="79" s="1"/>
  <c r="AC21" i="79"/>
  <c r="Y21" i="79"/>
  <c r="Z21" i="79" s="1"/>
  <c r="J21" i="79"/>
  <c r="L21" i="79" s="1"/>
  <c r="H21" i="79"/>
  <c r="AC22" i="79"/>
  <c r="Y22" i="79"/>
  <c r="Z22" i="79" s="1"/>
  <c r="J22" i="79"/>
  <c r="L22" i="79" s="1"/>
  <c r="P22" i="79" s="1"/>
  <c r="H22" i="79"/>
  <c r="M22" i="79" s="1"/>
  <c r="AC25" i="79"/>
  <c r="Y25" i="79"/>
  <c r="Z25" i="79" s="1"/>
  <c r="M25" i="79"/>
  <c r="J25" i="79"/>
  <c r="L25" i="79" s="1"/>
  <c r="P25" i="79" s="1"/>
  <c r="H25" i="79"/>
  <c r="AC28" i="79"/>
  <c r="Y28" i="79"/>
  <c r="Z28" i="79" s="1"/>
  <c r="J28" i="79"/>
  <c r="L28" i="79" s="1"/>
  <c r="P28" i="79" s="1"/>
  <c r="H28" i="79"/>
  <c r="M28" i="79" s="1"/>
  <c r="AC31" i="79"/>
  <c r="Y31" i="79"/>
  <c r="Z31" i="79" s="1"/>
  <c r="J31" i="79"/>
  <c r="I31" i="79" s="1"/>
  <c r="H31" i="79"/>
  <c r="M31" i="79" s="1"/>
  <c r="AK38" i="79"/>
  <c r="AC34" i="79"/>
  <c r="Y34" i="79"/>
  <c r="Z34" i="79" s="1"/>
  <c r="J34" i="79"/>
  <c r="L34" i="79" s="1"/>
  <c r="H34" i="79"/>
  <c r="M34" i="79" s="1"/>
  <c r="J15" i="79"/>
  <c r="L15" i="79" s="1"/>
  <c r="H15" i="79"/>
  <c r="M15" i="79" s="1"/>
  <c r="I21" i="79" l="1"/>
  <c r="M21" i="79"/>
  <c r="I25" i="79"/>
  <c r="Z18" i="79"/>
  <c r="P26" i="80"/>
  <c r="K26" i="80"/>
  <c r="P15" i="80"/>
  <c r="K15" i="80"/>
  <c r="K18" i="80"/>
  <c r="I26" i="80"/>
  <c r="I15" i="80"/>
  <c r="I18" i="80"/>
  <c r="P37" i="79"/>
  <c r="K37" i="79"/>
  <c r="O37" i="79" s="1"/>
  <c r="Q37" i="79" s="1"/>
  <c r="I37" i="79"/>
  <c r="AD37" i="79"/>
  <c r="AE37" i="79" s="1"/>
  <c r="AF37" i="79" s="1"/>
  <c r="AM37" i="79" s="1"/>
  <c r="AN37" i="79" s="1"/>
  <c r="K18" i="79"/>
  <c r="O18" i="79" s="1"/>
  <c r="Q18" i="79" s="1"/>
  <c r="I18" i="79"/>
  <c r="P21" i="79"/>
  <c r="K21" i="79"/>
  <c r="AD22" i="79"/>
  <c r="AE22" i="79" s="1"/>
  <c r="AF22" i="79" s="1"/>
  <c r="AM22" i="79" s="1"/>
  <c r="AN22" i="79" s="1"/>
  <c r="K22" i="79"/>
  <c r="O22" i="79" s="1"/>
  <c r="Q22" i="79" s="1"/>
  <c r="I22" i="79"/>
  <c r="AD25" i="79"/>
  <c r="AE25" i="79" s="1"/>
  <c r="AF25" i="79" s="1"/>
  <c r="AM25" i="79" s="1"/>
  <c r="AN25" i="79" s="1"/>
  <c r="K25" i="79"/>
  <c r="O25" i="79" s="1"/>
  <c r="Q25" i="79" s="1"/>
  <c r="K28" i="79"/>
  <c r="O28" i="79" s="1"/>
  <c r="Q28" i="79" s="1"/>
  <c r="I28" i="79"/>
  <c r="L31" i="79"/>
  <c r="P34" i="79"/>
  <c r="K34" i="79"/>
  <c r="O34" i="79" s="1"/>
  <c r="Q34" i="79" s="1"/>
  <c r="P15" i="79"/>
  <c r="K15" i="79"/>
  <c r="O15" i="79" s="1"/>
  <c r="Q15" i="79" s="1"/>
  <c r="I34" i="79"/>
  <c r="I15" i="79"/>
  <c r="AD15" i="79" l="1"/>
  <c r="AE15" i="79" s="1"/>
  <c r="AF15" i="79" s="1"/>
  <c r="AM15" i="79" s="1"/>
  <c r="AN15" i="79" s="1"/>
  <c r="O21" i="79"/>
  <c r="Q21" i="79" s="1"/>
  <c r="O18" i="80"/>
  <c r="Q18" i="80" s="1"/>
  <c r="AD18" i="80"/>
  <c r="AE18" i="80" s="1"/>
  <c r="AK18" i="80" s="1"/>
  <c r="AR18" i="80" s="1"/>
  <c r="AS18" i="80" s="1"/>
  <c r="O15" i="80"/>
  <c r="Q15" i="80" s="1"/>
  <c r="AD15" i="80"/>
  <c r="AE15" i="80" s="1"/>
  <c r="AK15" i="80" s="1"/>
  <c r="O26" i="80"/>
  <c r="Q26" i="80" s="1"/>
  <c r="AD26" i="80"/>
  <c r="AD18" i="79"/>
  <c r="AE18" i="79" s="1"/>
  <c r="AF18" i="79" s="1"/>
  <c r="AM18" i="79" s="1"/>
  <c r="AN18" i="79" s="1"/>
  <c r="AD28" i="79"/>
  <c r="AE28" i="79" s="1"/>
  <c r="AF28" i="79" s="1"/>
  <c r="AM28" i="79" s="1"/>
  <c r="AN28" i="79" s="1"/>
  <c r="AD21" i="79"/>
  <c r="AE21" i="79" s="1"/>
  <c r="AF21" i="79" s="1"/>
  <c r="AM21" i="79" s="1"/>
  <c r="AN21" i="79" s="1"/>
  <c r="P31" i="79"/>
  <c r="K31" i="79"/>
  <c r="AD34" i="79"/>
  <c r="AE34" i="79" s="1"/>
  <c r="AF34" i="79" s="1"/>
  <c r="AM34" i="79" s="1"/>
  <c r="AN34" i="79" s="1"/>
  <c r="AE26" i="80" l="1"/>
  <c r="AK26" i="80" s="1"/>
  <c r="AR15" i="80"/>
  <c r="O31" i="79"/>
  <c r="Q31" i="79" s="1"/>
  <c r="AD31" i="79"/>
  <c r="AE31" i="79" s="1"/>
  <c r="AF31" i="79" s="1"/>
  <c r="AM31" i="79" s="1"/>
  <c r="AN31" i="79" s="1"/>
  <c r="AR26" i="80" l="1"/>
  <c r="AS26" i="80" s="1"/>
  <c r="AK27" i="80"/>
  <c r="AF38" i="79"/>
  <c r="AS15" i="80"/>
  <c r="Y41" i="78" l="1"/>
  <c r="Z41" i="78" s="1"/>
  <c r="AC41" i="78"/>
  <c r="J41" i="78"/>
  <c r="L41" i="78" s="1"/>
  <c r="H41" i="78"/>
  <c r="M41" i="78" s="1"/>
  <c r="AC38" i="78"/>
  <c r="Y38" i="78"/>
  <c r="Z38" i="78" s="1"/>
  <c r="M38" i="78"/>
  <c r="J38" i="78"/>
  <c r="L38" i="78" s="1"/>
  <c r="P38" i="78" s="1"/>
  <c r="H38" i="78"/>
  <c r="AC35" i="78"/>
  <c r="Y35" i="78"/>
  <c r="Z35" i="78" s="1"/>
  <c r="J35" i="78"/>
  <c r="L35" i="78" s="1"/>
  <c r="P35" i="78" s="1"/>
  <c r="H35" i="78"/>
  <c r="M35" i="78" s="1"/>
  <c r="AC32" i="78"/>
  <c r="Y32" i="78"/>
  <c r="J32" i="78"/>
  <c r="L32" i="78" s="1"/>
  <c r="H32" i="78"/>
  <c r="M32" i="78" s="1"/>
  <c r="AC28" i="78"/>
  <c r="Y28" i="78"/>
  <c r="Z28" i="78" s="1"/>
  <c r="M28" i="78"/>
  <c r="J28" i="78"/>
  <c r="L28" i="78" s="1"/>
  <c r="P28" i="78" s="1"/>
  <c r="H28" i="78"/>
  <c r="I28" i="78" s="1"/>
  <c r="AC25" i="78"/>
  <c r="Y25" i="78"/>
  <c r="Z25" i="78" s="1"/>
  <c r="J25" i="78"/>
  <c r="P25" i="78" s="1"/>
  <c r="H25" i="78"/>
  <c r="M25" i="78" s="1"/>
  <c r="AC21" i="78"/>
  <c r="Y21" i="78"/>
  <c r="Z21" i="78" s="1"/>
  <c r="J21" i="78"/>
  <c r="L21" i="78" s="1"/>
  <c r="P21" i="78" s="1"/>
  <c r="H21" i="78"/>
  <c r="M21" i="78" s="1"/>
  <c r="AC20" i="78"/>
  <c r="Y20" i="78"/>
  <c r="Z20" i="78" s="1"/>
  <c r="J20" i="78"/>
  <c r="H20" i="78"/>
  <c r="M20" i="78" s="1"/>
  <c r="AC17" i="78"/>
  <c r="Y17" i="78"/>
  <c r="Z17" i="78" s="1"/>
  <c r="J17" i="78"/>
  <c r="L17" i="78" s="1"/>
  <c r="P17" i="78" s="1"/>
  <c r="H17" i="78"/>
  <c r="M17" i="78" s="1"/>
  <c r="AC16" i="78"/>
  <c r="Y16" i="78"/>
  <c r="Z16" i="78" s="1"/>
  <c r="J16" i="78"/>
  <c r="L16" i="78" s="1"/>
  <c r="P16" i="78" s="1"/>
  <c r="H16" i="78"/>
  <c r="M16" i="78" s="1"/>
  <c r="AC15" i="78"/>
  <c r="Y15" i="78"/>
  <c r="Z15" i="78"/>
  <c r="J15" i="78"/>
  <c r="L15" i="78" s="1"/>
  <c r="P15" i="78" s="1"/>
  <c r="H15" i="78"/>
  <c r="M15" i="78" s="1"/>
  <c r="AC31" i="78"/>
  <c r="Y31" i="78"/>
  <c r="J31" i="78"/>
  <c r="L31" i="78" s="1"/>
  <c r="H31" i="78"/>
  <c r="M31" i="78" s="1"/>
  <c r="Y15" i="76"/>
  <c r="I38" i="78" l="1"/>
  <c r="I20" i="78"/>
  <c r="I15" i="78"/>
  <c r="L20" i="78"/>
  <c r="P20" i="78" s="1"/>
  <c r="I32" i="78"/>
  <c r="I35" i="78"/>
  <c r="K41" i="78"/>
  <c r="O41" i="78" s="1"/>
  <c r="Q41" i="78" s="1"/>
  <c r="I41" i="78"/>
  <c r="K38" i="78"/>
  <c r="O38" i="78" s="1"/>
  <c r="Q38" i="78" s="1"/>
  <c r="K35" i="78"/>
  <c r="O35" i="78" s="1"/>
  <c r="Q35" i="78" s="1"/>
  <c r="K32" i="78"/>
  <c r="O32" i="78" s="1"/>
  <c r="Q32" i="78" s="1"/>
  <c r="K28" i="78"/>
  <c r="O28" i="78" s="1"/>
  <c r="Q28" i="78" s="1"/>
  <c r="K25" i="78"/>
  <c r="O25" i="78" s="1"/>
  <c r="Q25" i="78" s="1"/>
  <c r="I25" i="78"/>
  <c r="K21" i="78"/>
  <c r="O21" i="78" s="1"/>
  <c r="Q21" i="78" s="1"/>
  <c r="I21" i="78"/>
  <c r="AD21" i="78"/>
  <c r="AE21" i="78" s="1"/>
  <c r="AF21" i="78" s="1"/>
  <c r="AM21" i="78" s="1"/>
  <c r="AN21" i="78" s="1"/>
  <c r="K20" i="78"/>
  <c r="O20" i="78" s="1"/>
  <c r="Q20" i="78" s="1"/>
  <c r="K17" i="78"/>
  <c r="O17" i="78" s="1"/>
  <c r="Q17" i="78" s="1"/>
  <c r="I17" i="78"/>
  <c r="K16" i="78"/>
  <c r="O16" i="78" s="1"/>
  <c r="Q16" i="78" s="1"/>
  <c r="I16" i="78"/>
  <c r="K15" i="78"/>
  <c r="O15" i="78" s="1"/>
  <c r="Q15" i="78" s="1"/>
  <c r="I31" i="78"/>
  <c r="K31" i="78"/>
  <c r="O31" i="78" s="1"/>
  <c r="Q31" i="78" s="1"/>
  <c r="AD38" i="78" l="1"/>
  <c r="AE38" i="78" s="1"/>
  <c r="AF38" i="78" s="1"/>
  <c r="AM38" i="78" s="1"/>
  <c r="AN38" i="78" s="1"/>
  <c r="AD35" i="78"/>
  <c r="AE35" i="78" s="1"/>
  <c r="AF35" i="78" s="1"/>
  <c r="AM35" i="78" s="1"/>
  <c r="AN35" i="78" s="1"/>
  <c r="AD28" i="78"/>
  <c r="AE28" i="78" s="1"/>
  <c r="AF28" i="78" s="1"/>
  <c r="AM28" i="78" s="1"/>
  <c r="AN28" i="78" s="1"/>
  <c r="AD41" i="78"/>
  <c r="AE41" i="78" s="1"/>
  <c r="AF41" i="78" s="1"/>
  <c r="AM41" i="78" s="1"/>
  <c r="AN41" i="78" s="1"/>
  <c r="AD16" i="78"/>
  <c r="AE16" i="78" s="1"/>
  <c r="AF16" i="78" s="1"/>
  <c r="AM16" i="78" s="1"/>
  <c r="AN16" i="78" s="1"/>
  <c r="AE25" i="78"/>
  <c r="AF25" i="78" s="1"/>
  <c r="AM25" i="78" s="1"/>
  <c r="AN25" i="78" s="1"/>
  <c r="AD15" i="78"/>
  <c r="AE15" i="78" s="1"/>
  <c r="AF15" i="78" s="1"/>
  <c r="AD32" i="78"/>
  <c r="AE32" i="78" s="1"/>
  <c r="AF32" i="78" s="1"/>
  <c r="AM32" i="78" s="1"/>
  <c r="AN32" i="78" s="1"/>
  <c r="AD20" i="78"/>
  <c r="AE20" i="78" s="1"/>
  <c r="AF20" i="78" s="1"/>
  <c r="AM20" i="78" s="1"/>
  <c r="AN20" i="78" s="1"/>
  <c r="AD17" i="78"/>
  <c r="AE17" i="78" s="1"/>
  <c r="AF17" i="78" s="1"/>
  <c r="AM17" i="78" s="1"/>
  <c r="AN17" i="78" s="1"/>
  <c r="AD31" i="78"/>
  <c r="AE31" i="78" s="1"/>
  <c r="AF31" i="78" s="1"/>
  <c r="AM31" i="78" s="1"/>
  <c r="AN31" i="78" s="1"/>
  <c r="AF42" i="78" l="1"/>
  <c r="AM15" i="78"/>
  <c r="AN15" i="78" s="1"/>
  <c r="Y15" i="77" l="1"/>
  <c r="Z15" i="77" s="1"/>
  <c r="AC41" i="77" l="1"/>
  <c r="Y41" i="77"/>
  <c r="Z41" i="77" s="1"/>
  <c r="J41" i="77"/>
  <c r="L41" i="77" s="1"/>
  <c r="P41" i="77" s="1"/>
  <c r="H41" i="77"/>
  <c r="M41" i="77" s="1"/>
  <c r="AC50" i="77"/>
  <c r="Y50" i="77"/>
  <c r="Z50" i="77" s="1"/>
  <c r="J50" i="77"/>
  <c r="L50" i="77" s="1"/>
  <c r="P50" i="77" s="1"/>
  <c r="H50" i="77"/>
  <c r="M50" i="77" s="1"/>
  <c r="AC47" i="77"/>
  <c r="Y47" i="77"/>
  <c r="Z47" i="77" s="1"/>
  <c r="J47" i="77"/>
  <c r="H47" i="77"/>
  <c r="M47" i="77" s="1"/>
  <c r="AC44" i="77"/>
  <c r="Y44" i="77"/>
  <c r="Z44" i="77" s="1"/>
  <c r="J44" i="77"/>
  <c r="L44" i="77" s="1"/>
  <c r="P44" i="77" s="1"/>
  <c r="H44" i="77"/>
  <c r="M44" i="77" s="1"/>
  <c r="AC38" i="77"/>
  <c r="Y38" i="77"/>
  <c r="Z38" i="77" s="1"/>
  <c r="J38" i="77"/>
  <c r="H38" i="77"/>
  <c r="M38" i="77" s="1"/>
  <c r="AC35" i="77"/>
  <c r="Y35" i="77"/>
  <c r="Z35" i="77" s="1"/>
  <c r="J35" i="77"/>
  <c r="H35" i="77"/>
  <c r="M35" i="77" s="1"/>
  <c r="AC33" i="77"/>
  <c r="Y33" i="77"/>
  <c r="Z33" i="77" s="1"/>
  <c r="M33" i="77"/>
  <c r="J33" i="77"/>
  <c r="L33" i="77" s="1"/>
  <c r="H33" i="77"/>
  <c r="AC24" i="77"/>
  <c r="Y24" i="77"/>
  <c r="Z24" i="77" s="1"/>
  <c r="J24" i="77"/>
  <c r="L24" i="77" s="1"/>
  <c r="P24" i="77" s="1"/>
  <c r="H24" i="77"/>
  <c r="M24" i="77" s="1"/>
  <c r="AC23" i="77"/>
  <c r="Y23" i="77"/>
  <c r="Z23" i="77" s="1"/>
  <c r="M23" i="77"/>
  <c r="J23" i="77"/>
  <c r="L23" i="77" s="1"/>
  <c r="H23" i="77"/>
  <c r="AC20" i="77"/>
  <c r="Y20" i="77"/>
  <c r="Z20" i="77" s="1"/>
  <c r="J20" i="77"/>
  <c r="L20" i="77" s="1"/>
  <c r="P20" i="77" s="1"/>
  <c r="H20" i="77"/>
  <c r="M20" i="77" s="1"/>
  <c r="AC17" i="77"/>
  <c r="Y17" i="77"/>
  <c r="Z17" i="77" s="1"/>
  <c r="J17" i="77"/>
  <c r="L17" i="77" s="1"/>
  <c r="P17" i="77" s="1"/>
  <c r="H17" i="77"/>
  <c r="M17" i="77" s="1"/>
  <c r="AC16" i="77"/>
  <c r="Y16" i="77"/>
  <c r="Z16" i="77" s="1"/>
  <c r="J16" i="77"/>
  <c r="L16" i="77" s="1"/>
  <c r="P16" i="77" s="1"/>
  <c r="H16" i="77"/>
  <c r="M16" i="77" s="1"/>
  <c r="AC15" i="77"/>
  <c r="J15" i="77"/>
  <c r="L15" i="77" s="1"/>
  <c r="H15" i="77"/>
  <c r="M15" i="77" s="1"/>
  <c r="AO25" i="63"/>
  <c r="AP25" i="63" s="1"/>
  <c r="AH26" i="63"/>
  <c r="Z25" i="63"/>
  <c r="J25" i="63"/>
  <c r="L25" i="63" s="1"/>
  <c r="H25" i="63"/>
  <c r="M25" i="63" s="1"/>
  <c r="I47" i="77" l="1"/>
  <c r="I38" i="77"/>
  <c r="I35" i="77"/>
  <c r="L47" i="77"/>
  <c r="P47" i="77" s="1"/>
  <c r="I44" i="77"/>
  <c r="I41" i="77"/>
  <c r="L38" i="77"/>
  <c r="P38" i="77" s="1"/>
  <c r="L35" i="77"/>
  <c r="P35" i="77" s="1"/>
  <c r="I15" i="77"/>
  <c r="I16" i="77"/>
  <c r="I17" i="77"/>
  <c r="I20" i="77"/>
  <c r="K41" i="77"/>
  <c r="O41" i="77" s="1"/>
  <c r="Q41" i="77" s="1"/>
  <c r="K50" i="77"/>
  <c r="O50" i="77" s="1"/>
  <c r="Q50" i="77" s="1"/>
  <c r="I50" i="77"/>
  <c r="K44" i="77"/>
  <c r="O44" i="77" s="1"/>
  <c r="Q44" i="77" s="1"/>
  <c r="P33" i="77"/>
  <c r="K33" i="77"/>
  <c r="O33" i="77" s="1"/>
  <c r="Q33" i="77" s="1"/>
  <c r="I33" i="77"/>
  <c r="K24" i="77"/>
  <c r="O24" i="77" s="1"/>
  <c r="Q24" i="77" s="1"/>
  <c r="I24" i="77"/>
  <c r="AD24" i="77"/>
  <c r="AE24" i="77" s="1"/>
  <c r="AK24" i="77" s="1"/>
  <c r="AR24" i="77" s="1"/>
  <c r="AS24" i="77" s="1"/>
  <c r="P23" i="77"/>
  <c r="K23" i="77"/>
  <c r="O23" i="77" s="1"/>
  <c r="Q23" i="77" s="1"/>
  <c r="I23" i="77"/>
  <c r="AD20" i="77"/>
  <c r="AE20" i="77" s="1"/>
  <c r="AK20" i="77" s="1"/>
  <c r="AR20" i="77" s="1"/>
  <c r="AS20" i="77" s="1"/>
  <c r="K20" i="77"/>
  <c r="O20" i="77" s="1"/>
  <c r="Q20" i="77" s="1"/>
  <c r="K17" i="77"/>
  <c r="O17" i="77" s="1"/>
  <c r="Q17" i="77" s="1"/>
  <c r="AD16" i="77"/>
  <c r="AE16" i="77" s="1"/>
  <c r="AK16" i="77" s="1"/>
  <c r="AR16" i="77" s="1"/>
  <c r="AS16" i="77" s="1"/>
  <c r="K16" i="77"/>
  <c r="O16" i="77" s="1"/>
  <c r="Q16" i="77" s="1"/>
  <c r="P15" i="77"/>
  <c r="K15" i="77"/>
  <c r="P25" i="63"/>
  <c r="O25" i="63" s="1"/>
  <c r="K25" i="63"/>
  <c r="AA25" i="63"/>
  <c r="AB25" i="63" s="1"/>
  <c r="I25" i="63"/>
  <c r="AD41" i="77" l="1"/>
  <c r="AE41" i="77" s="1"/>
  <c r="AK41" i="77" s="1"/>
  <c r="AR41" i="77" s="1"/>
  <c r="AS41" i="77" s="1"/>
  <c r="AD17" i="77"/>
  <c r="AE17" i="77" s="1"/>
  <c r="AK17" i="77" s="1"/>
  <c r="AR17" i="77" s="1"/>
  <c r="AS17" i="77" s="1"/>
  <c r="K47" i="77"/>
  <c r="O47" i="77" s="1"/>
  <c r="Q47" i="77" s="1"/>
  <c r="K38" i="77"/>
  <c r="O38" i="77" s="1"/>
  <c r="Q38" i="77" s="1"/>
  <c r="K35" i="77"/>
  <c r="O35" i="77" s="1"/>
  <c r="Q35" i="77" s="1"/>
  <c r="O15" i="77"/>
  <c r="Q15" i="77" s="1"/>
  <c r="AD15" i="77"/>
  <c r="AD50" i="77"/>
  <c r="AE50" i="77" s="1"/>
  <c r="AK50" i="77" s="1"/>
  <c r="AR50" i="77" s="1"/>
  <c r="AS50" i="77" s="1"/>
  <c r="AD35" i="77"/>
  <c r="AE35" i="77" s="1"/>
  <c r="AK35" i="77" s="1"/>
  <c r="AR35" i="77" s="1"/>
  <c r="AS35" i="77" s="1"/>
  <c r="AD44" i="77"/>
  <c r="AE44" i="77" s="1"/>
  <c r="AK44" i="77" s="1"/>
  <c r="AR44" i="77" s="1"/>
  <c r="AS44" i="77" s="1"/>
  <c r="AD47" i="77"/>
  <c r="AE47" i="77" s="1"/>
  <c r="AK47" i="77" s="1"/>
  <c r="AR47" i="77" s="1"/>
  <c r="AS47" i="77" s="1"/>
  <c r="AD33" i="77"/>
  <c r="AE33" i="77" s="1"/>
  <c r="AK33" i="77" s="1"/>
  <c r="AR33" i="77" s="1"/>
  <c r="AS33" i="77" s="1"/>
  <c r="AD23" i="77"/>
  <c r="AE23" i="77" s="1"/>
  <c r="AK23" i="77" s="1"/>
  <c r="AR23" i="77" s="1"/>
  <c r="AS23" i="77" s="1"/>
  <c r="AE15" i="77"/>
  <c r="AK15" i="77" s="1"/>
  <c r="AR15" i="77" s="1"/>
  <c r="AS15" i="77" s="1"/>
  <c r="AD38" i="77" l="1"/>
  <c r="AE38" i="77" s="1"/>
  <c r="AK38" i="77" s="1"/>
  <c r="AR38" i="77" s="1"/>
  <c r="AS38" i="77" s="1"/>
  <c r="AQ51" i="77"/>
  <c r="AP51" i="77"/>
  <c r="AJ51" i="77"/>
  <c r="AI51" i="77"/>
  <c r="AH51" i="77"/>
  <c r="AG51" i="77"/>
  <c r="AF51" i="77"/>
  <c r="AC34" i="77"/>
  <c r="Y34" i="77"/>
  <c r="Z34" i="77" s="1"/>
  <c r="J34" i="77"/>
  <c r="H34" i="77"/>
  <c r="M34" i="77" s="1"/>
  <c r="AC30" i="77"/>
  <c r="Y30" i="77"/>
  <c r="Z30" i="77" s="1"/>
  <c r="J30" i="77"/>
  <c r="H30" i="77"/>
  <c r="M30" i="77" s="1"/>
  <c r="AC27" i="77"/>
  <c r="Y27" i="77"/>
  <c r="Z27" i="77" s="1"/>
  <c r="J27" i="77"/>
  <c r="H27" i="77"/>
  <c r="M27" i="77" s="1"/>
  <c r="I34" i="77" l="1"/>
  <c r="I30" i="77"/>
  <c r="L30" i="77"/>
  <c r="P30" i="77" s="1"/>
  <c r="I27" i="77"/>
  <c r="L34" i="77"/>
  <c r="P34" i="77" s="1"/>
  <c r="L27" i="77"/>
  <c r="P47" i="76"/>
  <c r="Y68" i="76"/>
  <c r="Y65" i="76"/>
  <c r="Y64" i="76"/>
  <c r="Y63" i="76"/>
  <c r="Y62" i="76"/>
  <c r="Y59" i="76"/>
  <c r="Y56" i="76"/>
  <c r="Y53" i="76"/>
  <c r="Y50" i="76"/>
  <c r="Y47" i="76"/>
  <c r="Y44" i="76"/>
  <c r="Y41" i="76"/>
  <c r="Y38" i="76"/>
  <c r="Y35" i="76"/>
  <c r="Y31" i="76"/>
  <c r="Y30" i="76"/>
  <c r="Y27" i="76"/>
  <c r="Y26" i="76"/>
  <c r="Y23" i="76"/>
  <c r="Y22" i="76"/>
  <c r="Y19" i="76"/>
  <c r="Y18" i="76"/>
  <c r="AO33" i="73"/>
  <c r="AO69" i="57"/>
  <c r="AO70" i="57"/>
  <c r="AO18" i="62"/>
  <c r="AP18" i="62" s="1"/>
  <c r="AO19" i="62"/>
  <c r="AO20" i="62"/>
  <c r="AO21" i="62"/>
  <c r="AO22" i="62"/>
  <c r="AO25" i="62"/>
  <c r="AO28" i="62"/>
  <c r="AO29" i="62"/>
  <c r="AO38" i="62"/>
  <c r="AO42" i="62"/>
  <c r="AO45" i="62"/>
  <c r="AO15" i="61"/>
  <c r="AO16" i="61"/>
  <c r="AP16" i="61" s="1"/>
  <c r="AO17" i="61"/>
  <c r="AO18" i="61"/>
  <c r="AO21" i="61"/>
  <c r="AO32" i="61"/>
  <c r="AO35" i="61"/>
  <c r="AO15" i="64"/>
  <c r="AO18" i="64"/>
  <c r="X18" i="73"/>
  <c r="X15" i="73"/>
  <c r="W68" i="76"/>
  <c r="Z68" i="76" s="1"/>
  <c r="W65" i="76"/>
  <c r="W64" i="76"/>
  <c r="W63" i="76"/>
  <c r="Z63" i="76" s="1"/>
  <c r="W62" i="76"/>
  <c r="Z62" i="76" s="1"/>
  <c r="W59" i="76"/>
  <c r="W56" i="76"/>
  <c r="W53" i="76"/>
  <c r="Z53" i="76" s="1"/>
  <c r="W50" i="76"/>
  <c r="Z50" i="76" s="1"/>
  <c r="W47" i="76"/>
  <c r="W44" i="76"/>
  <c r="W41" i="76"/>
  <c r="Z41" i="76" s="1"/>
  <c r="W38" i="76"/>
  <c r="Z38" i="76" s="1"/>
  <c r="W35" i="76"/>
  <c r="W31" i="76"/>
  <c r="Z31" i="76" s="1"/>
  <c r="W30" i="76"/>
  <c r="W27" i="76"/>
  <c r="Z27" i="76" s="1"/>
  <c r="W26" i="76"/>
  <c r="W23" i="76"/>
  <c r="Z23" i="76" s="1"/>
  <c r="W22" i="76"/>
  <c r="W19" i="76"/>
  <c r="Z19" i="76" s="1"/>
  <c r="AD19" i="76" s="1"/>
  <c r="W18" i="76"/>
  <c r="Z18" i="76" s="1"/>
  <c r="W15" i="76"/>
  <c r="Z15" i="76" s="1"/>
  <c r="AC22" i="76"/>
  <c r="J22" i="76"/>
  <c r="H22" i="76"/>
  <c r="M22" i="76" s="1"/>
  <c r="AC68" i="76"/>
  <c r="J68" i="76"/>
  <c r="H68" i="76"/>
  <c r="M68" i="76" s="1"/>
  <c r="AC65" i="76"/>
  <c r="J65" i="76"/>
  <c r="H65" i="76"/>
  <c r="M65" i="76" s="1"/>
  <c r="AC63" i="76"/>
  <c r="J63" i="76"/>
  <c r="L63" i="76" s="1"/>
  <c r="H63" i="76"/>
  <c r="M63" i="76" s="1"/>
  <c r="AC62" i="76"/>
  <c r="J62" i="76"/>
  <c r="H62" i="76"/>
  <c r="M62" i="76" s="1"/>
  <c r="AC59" i="76"/>
  <c r="J59" i="76"/>
  <c r="L59" i="76" s="1"/>
  <c r="H59" i="76"/>
  <c r="M59" i="76" s="1"/>
  <c r="AC56" i="76"/>
  <c r="J56" i="76"/>
  <c r="L56" i="76" s="1"/>
  <c r="H56" i="76"/>
  <c r="M56" i="76" s="1"/>
  <c r="AC53" i="76"/>
  <c r="J53" i="76"/>
  <c r="L53" i="76" s="1"/>
  <c r="H53" i="76"/>
  <c r="M53" i="76" s="1"/>
  <c r="AC50" i="76"/>
  <c r="J50" i="76"/>
  <c r="L50" i="76" s="1"/>
  <c r="H50" i="76"/>
  <c r="M50" i="76" s="1"/>
  <c r="AC47" i="76"/>
  <c r="J47" i="76"/>
  <c r="H47" i="76"/>
  <c r="M47" i="76" s="1"/>
  <c r="AC44" i="76"/>
  <c r="J44" i="76"/>
  <c r="L44" i="76" s="1"/>
  <c r="H44" i="76"/>
  <c r="M44" i="76" s="1"/>
  <c r="AC41" i="76"/>
  <c r="J41" i="76"/>
  <c r="L41" i="76" s="1"/>
  <c r="P41" i="76" s="1"/>
  <c r="H41" i="76"/>
  <c r="M41" i="76" s="1"/>
  <c r="AC38" i="76"/>
  <c r="J38" i="76"/>
  <c r="L38" i="76" s="1"/>
  <c r="H38" i="76"/>
  <c r="M38" i="76" s="1"/>
  <c r="AC35" i="76"/>
  <c r="J35" i="76"/>
  <c r="L35" i="76" s="1"/>
  <c r="H35" i="76"/>
  <c r="M35" i="76" s="1"/>
  <c r="AC31" i="76"/>
  <c r="J31" i="76"/>
  <c r="L31" i="76" s="1"/>
  <c r="P31" i="76" s="1"/>
  <c r="H31" i="76"/>
  <c r="M31" i="76" s="1"/>
  <c r="AC30" i="76"/>
  <c r="J30" i="76"/>
  <c r="L30" i="76" s="1"/>
  <c r="H30" i="76"/>
  <c r="M30" i="76" s="1"/>
  <c r="AC27" i="76"/>
  <c r="J27" i="76"/>
  <c r="L27" i="76" s="1"/>
  <c r="H27" i="76"/>
  <c r="M27" i="76" s="1"/>
  <c r="AC26" i="76"/>
  <c r="J26" i="76"/>
  <c r="L26" i="76" s="1"/>
  <c r="H26" i="76"/>
  <c r="M26" i="76" s="1"/>
  <c r="AC23" i="76"/>
  <c r="J23" i="76"/>
  <c r="L23" i="76" s="1"/>
  <c r="P23" i="76" s="1"/>
  <c r="H23" i="76"/>
  <c r="M23" i="76" s="1"/>
  <c r="AC19" i="76"/>
  <c r="J19" i="76"/>
  <c r="L19" i="76" s="1"/>
  <c r="H19" i="76"/>
  <c r="M19" i="76" s="1"/>
  <c r="AC18" i="76"/>
  <c r="J18" i="76"/>
  <c r="L18" i="76" s="1"/>
  <c r="H18" i="76"/>
  <c r="M18" i="76" s="1"/>
  <c r="AC15" i="76"/>
  <c r="J15" i="76"/>
  <c r="H15" i="76"/>
  <c r="M15" i="76" s="1"/>
  <c r="AC64" i="76"/>
  <c r="L64" i="76"/>
  <c r="P64" i="76" s="1"/>
  <c r="H64" i="76"/>
  <c r="M64" i="76" s="1"/>
  <c r="AJ69" i="76"/>
  <c r="AI69" i="76"/>
  <c r="AH69" i="76"/>
  <c r="AG69" i="76"/>
  <c r="AF69" i="76"/>
  <c r="Z44" i="76" l="1"/>
  <c r="Z56" i="76"/>
  <c r="Z64" i="76"/>
  <c r="Z22" i="76"/>
  <c r="Z30" i="76"/>
  <c r="Z26" i="76"/>
  <c r="Z35" i="76"/>
  <c r="Z47" i="76"/>
  <c r="AD47" i="76" s="1"/>
  <c r="AE47" i="76" s="1"/>
  <c r="Z59" i="76"/>
  <c r="Z65" i="76"/>
  <c r="AP15" i="64"/>
  <c r="AD15" i="76"/>
  <c r="I65" i="76"/>
  <c r="I68" i="76"/>
  <c r="I22" i="76"/>
  <c r="AE19" i="76"/>
  <c r="AK19" i="76" s="1"/>
  <c r="AR19" i="76" s="1"/>
  <c r="AS19" i="76" s="1"/>
  <c r="K30" i="77"/>
  <c r="O30" i="77" s="1"/>
  <c r="Q30" i="77" s="1"/>
  <c r="K34" i="77"/>
  <c r="O34" i="77" s="1"/>
  <c r="Q34" i="77" s="1"/>
  <c r="P27" i="77"/>
  <c r="K27" i="77"/>
  <c r="I62" i="76"/>
  <c r="I23" i="76"/>
  <c r="AE15" i="76"/>
  <c r="AK15" i="76" s="1"/>
  <c r="AR15" i="76" s="1"/>
  <c r="P15" i="76"/>
  <c r="I41" i="76"/>
  <c r="I15" i="76"/>
  <c r="I31" i="76"/>
  <c r="L22" i="76"/>
  <c r="L68" i="76"/>
  <c r="L65" i="76"/>
  <c r="P63" i="76"/>
  <c r="K63" i="76"/>
  <c r="O63" i="76" s="1"/>
  <c r="Q63" i="76" s="1"/>
  <c r="I63" i="76"/>
  <c r="L62" i="76"/>
  <c r="P59" i="76"/>
  <c r="K59" i="76"/>
  <c r="O59" i="76" s="1"/>
  <c r="Q59" i="76" s="1"/>
  <c r="I59" i="76"/>
  <c r="P56" i="76"/>
  <c r="K56" i="76"/>
  <c r="O56" i="76" s="1"/>
  <c r="Q56" i="76" s="1"/>
  <c r="I56" i="76"/>
  <c r="P53" i="76"/>
  <c r="K53" i="76"/>
  <c r="O53" i="76" s="1"/>
  <c r="Q53" i="76" s="1"/>
  <c r="I53" i="76"/>
  <c r="P50" i="76"/>
  <c r="K50" i="76"/>
  <c r="O50" i="76" s="1"/>
  <c r="Q50" i="76" s="1"/>
  <c r="I50" i="76"/>
  <c r="K47" i="76"/>
  <c r="O47" i="76" s="1"/>
  <c r="Q47" i="76" s="1"/>
  <c r="I47" i="76"/>
  <c r="P44" i="76"/>
  <c r="K44" i="76"/>
  <c r="O44" i="76" s="1"/>
  <c r="Q44" i="76" s="1"/>
  <c r="I44" i="76"/>
  <c r="K41" i="76"/>
  <c r="O41" i="76" s="1"/>
  <c r="Q41" i="76" s="1"/>
  <c r="P38" i="76"/>
  <c r="K38" i="76"/>
  <c r="O38" i="76" s="1"/>
  <c r="Q38" i="76" s="1"/>
  <c r="I38" i="76"/>
  <c r="P35" i="76"/>
  <c r="K35" i="76"/>
  <c r="O35" i="76" s="1"/>
  <c r="Q35" i="76" s="1"/>
  <c r="I35" i="76"/>
  <c r="K31" i="76"/>
  <c r="O31" i="76" s="1"/>
  <c r="Q31" i="76" s="1"/>
  <c r="P30" i="76"/>
  <c r="K30" i="76"/>
  <c r="O30" i="76" s="1"/>
  <c r="Q30" i="76" s="1"/>
  <c r="I30" i="76"/>
  <c r="P27" i="76"/>
  <c r="K27" i="76"/>
  <c r="O27" i="76" s="1"/>
  <c r="Q27" i="76" s="1"/>
  <c r="I27" i="76"/>
  <c r="P26" i="76"/>
  <c r="K26" i="76"/>
  <c r="O26" i="76" s="1"/>
  <c r="Q26" i="76" s="1"/>
  <c r="I26" i="76"/>
  <c r="K23" i="76"/>
  <c r="O23" i="76" s="1"/>
  <c r="Q23" i="76" s="1"/>
  <c r="P19" i="76"/>
  <c r="K19" i="76"/>
  <c r="O19" i="76" s="1"/>
  <c r="Q19" i="76" s="1"/>
  <c r="I19" i="76"/>
  <c r="P18" i="76"/>
  <c r="K18" i="76"/>
  <c r="O18" i="76" s="1"/>
  <c r="Q18" i="76" s="1"/>
  <c r="I18" i="76"/>
  <c r="K15" i="76"/>
  <c r="O15" i="76" s="1"/>
  <c r="Q15" i="76" s="1"/>
  <c r="I64" i="76"/>
  <c r="K64" i="76"/>
  <c r="O64" i="76" s="1"/>
  <c r="Q64" i="76" s="1"/>
  <c r="AS15" i="76" l="1"/>
  <c r="AD18" i="76"/>
  <c r="AE18" i="76" s="1"/>
  <c r="AK18" i="76" s="1"/>
  <c r="AD31" i="76"/>
  <c r="AE31" i="76" s="1"/>
  <c r="AK31" i="76" s="1"/>
  <c r="AR31" i="76" s="1"/>
  <c r="AS31" i="76" s="1"/>
  <c r="AD35" i="76"/>
  <c r="AE35" i="76" s="1"/>
  <c r="AK35" i="76" s="1"/>
  <c r="AR35" i="76" s="1"/>
  <c r="AS35" i="76" s="1"/>
  <c r="AD63" i="76"/>
  <c r="AE63" i="76" s="1"/>
  <c r="AK63" i="76" s="1"/>
  <c r="AR63" i="76" s="1"/>
  <c r="AS63" i="76" s="1"/>
  <c r="AD50" i="76"/>
  <c r="AE50" i="76" s="1"/>
  <c r="AK50" i="76" s="1"/>
  <c r="AR50" i="76" s="1"/>
  <c r="AS50" i="76" s="1"/>
  <c r="AD26" i="76"/>
  <c r="AE26" i="76" s="1"/>
  <c r="AK26" i="76" s="1"/>
  <c r="AR26" i="76" s="1"/>
  <c r="AS26" i="76" s="1"/>
  <c r="AD53" i="76"/>
  <c r="AE53" i="76" s="1"/>
  <c r="AK53" i="76" s="1"/>
  <c r="AR53" i="76" s="1"/>
  <c r="AS53" i="76" s="1"/>
  <c r="AD64" i="76"/>
  <c r="AE64" i="76" s="1"/>
  <c r="AK64" i="76" s="1"/>
  <c r="AR64" i="76" s="1"/>
  <c r="AS64" i="76" s="1"/>
  <c r="AD38" i="76"/>
  <c r="AE38" i="76" s="1"/>
  <c r="AK38" i="76" s="1"/>
  <c r="AR38" i="76" s="1"/>
  <c r="AS38" i="76" s="1"/>
  <c r="AD41" i="76"/>
  <c r="AE41" i="76" s="1"/>
  <c r="AK41" i="76" s="1"/>
  <c r="AR41" i="76" s="1"/>
  <c r="AS41" i="76" s="1"/>
  <c r="AD23" i="76"/>
  <c r="AE23" i="76" s="1"/>
  <c r="AK23" i="76" s="1"/>
  <c r="AR23" i="76" s="1"/>
  <c r="AS23" i="76" s="1"/>
  <c r="AD27" i="76"/>
  <c r="AE27" i="76" s="1"/>
  <c r="AK27" i="76" s="1"/>
  <c r="AR27" i="76" s="1"/>
  <c r="AS27" i="76" s="1"/>
  <c r="AD59" i="76"/>
  <c r="AE59" i="76" s="1"/>
  <c r="AK59" i="76" s="1"/>
  <c r="AR59" i="76" s="1"/>
  <c r="AS59" i="76" s="1"/>
  <c r="AD44" i="76"/>
  <c r="AE44" i="76" s="1"/>
  <c r="AK44" i="76" s="1"/>
  <c r="AR44" i="76" s="1"/>
  <c r="AS44" i="76" s="1"/>
  <c r="AD30" i="76"/>
  <c r="AE30" i="76" s="1"/>
  <c r="AK30" i="76" s="1"/>
  <c r="AR30" i="76" s="1"/>
  <c r="AS30" i="76" s="1"/>
  <c r="AD56" i="76"/>
  <c r="AE56" i="76" s="1"/>
  <c r="AK56" i="76" s="1"/>
  <c r="AR56" i="76" s="1"/>
  <c r="AS56" i="76" s="1"/>
  <c r="AR18" i="76"/>
  <c r="AS18" i="76" s="1"/>
  <c r="AD30" i="77"/>
  <c r="AE30" i="77" s="1"/>
  <c r="AK30" i="77" s="1"/>
  <c r="AR30" i="77" s="1"/>
  <c r="AS30" i="77" s="1"/>
  <c r="AD34" i="77"/>
  <c r="AE34" i="77" s="1"/>
  <c r="AK34" i="77" s="1"/>
  <c r="AR34" i="77" s="1"/>
  <c r="AS34" i="77" s="1"/>
  <c r="O27" i="77"/>
  <c r="Q27" i="77" s="1"/>
  <c r="AD27" i="77"/>
  <c r="AE27" i="77" s="1"/>
  <c r="AK27" i="77" s="1"/>
  <c r="AR27" i="77" s="1"/>
  <c r="AS27" i="77" s="1"/>
  <c r="AK47" i="76"/>
  <c r="AR47" i="76" s="1"/>
  <c r="AS47" i="76" s="1"/>
  <c r="P22" i="76"/>
  <c r="K22" i="76"/>
  <c r="P68" i="76"/>
  <c r="K68" i="76"/>
  <c r="P65" i="76"/>
  <c r="K65" i="76"/>
  <c r="P62" i="76"/>
  <c r="K62" i="76"/>
  <c r="O65" i="76" l="1"/>
  <c r="Q65" i="76" s="1"/>
  <c r="AD65" i="76"/>
  <c r="AE65" i="76" s="1"/>
  <c r="AK65" i="76" s="1"/>
  <c r="AR65" i="76" s="1"/>
  <c r="AS65" i="76" s="1"/>
  <c r="O22" i="76"/>
  <c r="Q22" i="76" s="1"/>
  <c r="AD22" i="76"/>
  <c r="AE22" i="76" s="1"/>
  <c r="AK22" i="76" s="1"/>
  <c r="O62" i="76"/>
  <c r="Q62" i="76" s="1"/>
  <c r="AD62" i="76"/>
  <c r="AE62" i="76" s="1"/>
  <c r="AK62" i="76" s="1"/>
  <c r="AR62" i="76" s="1"/>
  <c r="AS62" i="76" s="1"/>
  <c r="O68" i="76"/>
  <c r="Q68" i="76" s="1"/>
  <c r="AD68" i="76"/>
  <c r="AE68" i="76" s="1"/>
  <c r="AK68" i="76" s="1"/>
  <c r="AR68" i="76" s="1"/>
  <c r="AS68" i="76" s="1"/>
  <c r="AK51" i="77"/>
  <c r="AB32" i="74"/>
  <c r="J32" i="74"/>
  <c r="L32" i="74" s="1"/>
  <c r="H32" i="74"/>
  <c r="M32" i="74" s="1"/>
  <c r="AB29" i="74"/>
  <c r="J29" i="74"/>
  <c r="L29" i="74" s="1"/>
  <c r="H29" i="74"/>
  <c r="M29" i="74" s="1"/>
  <c r="AB26" i="74"/>
  <c r="J26" i="74"/>
  <c r="L26" i="74" s="1"/>
  <c r="H26" i="74"/>
  <c r="M26" i="74" s="1"/>
  <c r="AB23" i="74"/>
  <c r="M23" i="74"/>
  <c r="J23" i="74"/>
  <c r="L23" i="74" s="1"/>
  <c r="H23" i="74"/>
  <c r="AB20" i="74"/>
  <c r="M20" i="74"/>
  <c r="J20" i="74"/>
  <c r="L20" i="74" s="1"/>
  <c r="H20" i="74"/>
  <c r="AB17" i="74"/>
  <c r="M17" i="74"/>
  <c r="J17" i="74"/>
  <c r="I17" i="74" s="1"/>
  <c r="H17" i="74"/>
  <c r="AB16" i="74"/>
  <c r="J16" i="74"/>
  <c r="L16" i="74" s="1"/>
  <c r="H16" i="74"/>
  <c r="M16" i="74" s="1"/>
  <c r="AI33" i="74"/>
  <c r="AH33" i="74"/>
  <c r="AG33" i="74"/>
  <c r="AF33" i="74"/>
  <c r="AE33" i="74"/>
  <c r="AB18" i="74"/>
  <c r="J18" i="74"/>
  <c r="L18" i="74" s="1"/>
  <c r="P18" i="74" s="1"/>
  <c r="H18" i="74"/>
  <c r="AR22" i="76" l="1"/>
  <c r="AR69" i="76" s="1"/>
  <c r="AK69" i="76"/>
  <c r="AS51" i="77"/>
  <c r="AR51" i="77"/>
  <c r="P32" i="74"/>
  <c r="K32" i="74"/>
  <c r="I32" i="74"/>
  <c r="P29" i="74"/>
  <c r="K29" i="74"/>
  <c r="I29" i="74"/>
  <c r="P26" i="74"/>
  <c r="K26" i="74"/>
  <c r="I26" i="74"/>
  <c r="P23" i="74"/>
  <c r="K23" i="74"/>
  <c r="I23" i="74"/>
  <c r="P20" i="74"/>
  <c r="K20" i="74"/>
  <c r="I20" i="74"/>
  <c r="L17" i="74"/>
  <c r="P16" i="74"/>
  <c r="K16" i="74"/>
  <c r="AC16" i="74" s="1"/>
  <c r="I16" i="74"/>
  <c r="I18" i="74"/>
  <c r="M18" i="74"/>
  <c r="K18" i="74"/>
  <c r="AS22" i="76" l="1"/>
  <c r="AS69" i="76" s="1"/>
  <c r="O18" i="74"/>
  <c r="O16" i="74"/>
  <c r="AD16" i="74"/>
  <c r="AJ16" i="74" s="1"/>
  <c r="AQ16" i="74" s="1"/>
  <c r="AC32" i="74"/>
  <c r="AD32" i="74" s="1"/>
  <c r="AJ32" i="74" s="1"/>
  <c r="O32" i="74"/>
  <c r="AC29" i="74"/>
  <c r="AD29" i="74" s="1"/>
  <c r="AJ29" i="74" s="1"/>
  <c r="O29" i="74"/>
  <c r="AC26" i="74"/>
  <c r="AD26" i="74" s="1"/>
  <c r="AJ26" i="74" s="1"/>
  <c r="O26" i="74"/>
  <c r="AC23" i="74"/>
  <c r="AD23" i="74" s="1"/>
  <c r="AJ23" i="74" s="1"/>
  <c r="AQ23" i="74" s="1"/>
  <c r="AR23" i="74" s="1"/>
  <c r="O23" i="74"/>
  <c r="O20" i="74"/>
  <c r="AC20" i="74"/>
  <c r="AD20" i="74" s="1"/>
  <c r="AJ20" i="74" s="1"/>
  <c r="P17" i="74"/>
  <c r="K17" i="74"/>
  <c r="AC18" i="74"/>
  <c r="AD18" i="74" s="1"/>
  <c r="AJ18" i="74" s="1"/>
  <c r="AQ18" i="74" s="1"/>
  <c r="AQ26" i="74" l="1"/>
  <c r="AR26" i="74" s="1"/>
  <c r="AQ32" i="74"/>
  <c r="AR32" i="74" s="1"/>
  <c r="AQ29" i="74"/>
  <c r="AR29" i="74" s="1"/>
  <c r="AQ20" i="74"/>
  <c r="AR20" i="74" s="1"/>
  <c r="AR16" i="74"/>
  <c r="O17" i="74"/>
  <c r="AC17" i="74"/>
  <c r="AD17" i="74" s="1"/>
  <c r="AJ17" i="74" s="1"/>
  <c r="AR18" i="74"/>
  <c r="AQ17" i="74" l="1"/>
  <c r="AJ33" i="74"/>
  <c r="AR17" i="74" l="1"/>
  <c r="L22" i="70"/>
  <c r="X32" i="73"/>
  <c r="AH33" i="73"/>
  <c r="AG33" i="73"/>
  <c r="AF33" i="73"/>
  <c r="AE33" i="73"/>
  <c r="AD33" i="73"/>
  <c r="AA32" i="73"/>
  <c r="L32" i="73"/>
  <c r="P32" i="73" s="1"/>
  <c r="H32" i="73"/>
  <c r="M32" i="73" s="1"/>
  <c r="AA29" i="73"/>
  <c r="X29" i="73"/>
  <c r="J29" i="73"/>
  <c r="L29" i="73" s="1"/>
  <c r="H29" i="73"/>
  <c r="M29" i="73" s="1"/>
  <c r="AA26" i="73"/>
  <c r="X26" i="73"/>
  <c r="M26" i="73"/>
  <c r="L26" i="73"/>
  <c r="H26" i="73"/>
  <c r="AA22" i="73"/>
  <c r="P22" i="73"/>
  <c r="H22" i="73"/>
  <c r="I22" i="73" s="1"/>
  <c r="AA18" i="73"/>
  <c r="J18" i="73"/>
  <c r="L18" i="73" s="1"/>
  <c r="P18" i="73" s="1"/>
  <c r="H18" i="73"/>
  <c r="AA15" i="73"/>
  <c r="J15" i="73"/>
  <c r="L15" i="73" s="1"/>
  <c r="H15" i="73"/>
  <c r="M15" i="73" s="1"/>
  <c r="AB16" i="70"/>
  <c r="J16" i="70"/>
  <c r="L16" i="70" s="1"/>
  <c r="P16" i="70" s="1"/>
  <c r="O16" i="70" s="1"/>
  <c r="H16" i="70"/>
  <c r="X16" i="70" s="1"/>
  <c r="AB28" i="70"/>
  <c r="X28" i="70"/>
  <c r="AB25" i="70"/>
  <c r="X25" i="70"/>
  <c r="AB22" i="70"/>
  <c r="X22" i="70"/>
  <c r="P22" i="70"/>
  <c r="H22" i="70"/>
  <c r="I22" i="70" s="1"/>
  <c r="AB19" i="70"/>
  <c r="J19" i="70"/>
  <c r="L19" i="70" s="1"/>
  <c r="P19" i="70" s="1"/>
  <c r="H19" i="70"/>
  <c r="X19" i="70" s="1"/>
  <c r="AB15" i="70"/>
  <c r="J15" i="70"/>
  <c r="L15" i="70" s="1"/>
  <c r="H15" i="70"/>
  <c r="X15" i="70" s="1"/>
  <c r="AE29" i="70"/>
  <c r="AF29" i="70"/>
  <c r="AG29" i="70"/>
  <c r="AH29" i="70"/>
  <c r="AI29" i="70"/>
  <c r="X15" i="69"/>
  <c r="V15" i="69" s="1"/>
  <c r="J28" i="70"/>
  <c r="L28" i="70" s="1"/>
  <c r="H28" i="70"/>
  <c r="M28" i="70" s="1"/>
  <c r="J25" i="70"/>
  <c r="L25" i="70" s="1"/>
  <c r="H25" i="70"/>
  <c r="M25" i="70" s="1"/>
  <c r="I18" i="73" l="1"/>
  <c r="M18" i="73"/>
  <c r="I32" i="73"/>
  <c r="K22" i="70"/>
  <c r="P15" i="73"/>
  <c r="O15" i="73" s="1"/>
  <c r="K15" i="73"/>
  <c r="AB15" i="73" s="1"/>
  <c r="AC15" i="73" s="1"/>
  <c r="AI15" i="73" s="1"/>
  <c r="AP15" i="73" s="1"/>
  <c r="AQ15" i="73" s="1"/>
  <c r="P29" i="73"/>
  <c r="K29" i="73"/>
  <c r="O29" i="73" s="1"/>
  <c r="Q29" i="73" s="1"/>
  <c r="P26" i="73"/>
  <c r="K26" i="73"/>
  <c r="I15" i="73"/>
  <c r="M22" i="73"/>
  <c r="X22" i="73"/>
  <c r="I26" i="73"/>
  <c r="K18" i="73"/>
  <c r="K22" i="73"/>
  <c r="AB22" i="73" s="1"/>
  <c r="AC22" i="73" s="1"/>
  <c r="I29" i="73"/>
  <c r="K32" i="73"/>
  <c r="O32" i="73" s="1"/>
  <c r="Q32" i="73" s="1"/>
  <c r="K16" i="70"/>
  <c r="I16" i="70"/>
  <c r="M16" i="70"/>
  <c r="M22" i="70"/>
  <c r="AC22" i="70" s="1"/>
  <c r="AD22" i="70" s="1"/>
  <c r="AJ22" i="70" s="1"/>
  <c r="K19" i="70"/>
  <c r="I19" i="70"/>
  <c r="M19" i="70"/>
  <c r="P15" i="70"/>
  <c r="O15" i="70" s="1"/>
  <c r="K15" i="70"/>
  <c r="I15" i="70"/>
  <c r="M15" i="70"/>
  <c r="P25" i="70"/>
  <c r="O25" i="70" s="1"/>
  <c r="K25" i="70"/>
  <c r="AC25" i="70" s="1"/>
  <c r="AD25" i="70" s="1"/>
  <c r="AJ25" i="70" s="1"/>
  <c r="AQ25" i="70" s="1"/>
  <c r="AR25" i="70" s="1"/>
  <c r="P28" i="70"/>
  <c r="K28" i="70"/>
  <c r="O28" i="70" s="1"/>
  <c r="I25" i="70"/>
  <c r="I28" i="70"/>
  <c r="AC19" i="70" l="1"/>
  <c r="AD19" i="70" s="1"/>
  <c r="AJ19" i="70" s="1"/>
  <c r="AQ19" i="70" s="1"/>
  <c r="AR19" i="70" s="1"/>
  <c r="O26" i="73"/>
  <c r="Q26" i="73" s="1"/>
  <c r="AB26" i="73"/>
  <c r="AC26" i="73" s="1"/>
  <c r="AP26" i="73" s="1"/>
  <c r="AQ26" i="73" s="1"/>
  <c r="AC15" i="70"/>
  <c r="AD15" i="70" s="1"/>
  <c r="AJ15" i="70" s="1"/>
  <c r="AB32" i="73"/>
  <c r="AC32" i="73" s="1"/>
  <c r="AI32" i="73" s="1"/>
  <c r="AP32" i="73" s="1"/>
  <c r="AQ32" i="73" s="1"/>
  <c r="O18" i="73"/>
  <c r="AB29" i="73"/>
  <c r="AC29" i="73" s="1"/>
  <c r="AI29" i="73" s="1"/>
  <c r="AP22" i="73"/>
  <c r="AQ22" i="73" s="1"/>
  <c r="AQ22" i="70"/>
  <c r="AR22" i="70" s="1"/>
  <c r="O22" i="70"/>
  <c r="O22" i="73"/>
  <c r="Q22" i="73" s="1"/>
  <c r="AB18" i="73"/>
  <c r="AC18" i="73" s="1"/>
  <c r="AI18" i="73" s="1"/>
  <c r="AC28" i="70"/>
  <c r="AD28" i="70" s="1"/>
  <c r="AJ28" i="70" s="1"/>
  <c r="AQ28" i="70" s="1"/>
  <c r="AR28" i="70" s="1"/>
  <c r="AC16" i="70"/>
  <c r="AD16" i="70" s="1"/>
  <c r="AJ16" i="70" s="1"/>
  <c r="AQ16" i="70" s="1"/>
  <c r="AR16" i="70" s="1"/>
  <c r="Q22" i="70"/>
  <c r="O19" i="70"/>
  <c r="AQ15" i="70" l="1"/>
  <c r="AJ29" i="70"/>
  <c r="AP29" i="73"/>
  <c r="AQ29" i="73" s="1"/>
  <c r="AP18" i="73"/>
  <c r="AI33" i="73"/>
  <c r="AR15" i="70" l="1"/>
  <c r="AQ18" i="73"/>
  <c r="AQ33" i="73" s="1"/>
  <c r="AP33" i="73"/>
  <c r="X45" i="69" l="1"/>
  <c r="V45" i="69" s="1"/>
  <c r="X42" i="69"/>
  <c r="V42" i="69" s="1"/>
  <c r="X39" i="69"/>
  <c r="V39" i="69" s="1"/>
  <c r="X38" i="69"/>
  <c r="V38" i="69" s="1"/>
  <c r="X37" i="69"/>
  <c r="V37" i="69" s="1"/>
  <c r="X34" i="69"/>
  <c r="V34" i="69" s="1"/>
  <c r="X33" i="69"/>
  <c r="V33" i="69" s="1"/>
  <c r="X26" i="69"/>
  <c r="V26" i="69" s="1"/>
  <c r="X25" i="69"/>
  <c r="V25" i="69" s="1"/>
  <c r="X19" i="69"/>
  <c r="X18" i="69"/>
  <c r="X17" i="69"/>
  <c r="X16" i="69"/>
  <c r="J45" i="69"/>
  <c r="L45" i="69" s="1"/>
  <c r="V16" i="69" l="1"/>
  <c r="V19" i="69"/>
  <c r="V18" i="69"/>
  <c r="V17" i="69"/>
  <c r="AB26" i="69" l="1"/>
  <c r="J26" i="69"/>
  <c r="L26" i="69" s="1"/>
  <c r="P26" i="69" s="1"/>
  <c r="H26" i="69"/>
  <c r="M26" i="69" s="1"/>
  <c r="AB39" i="69"/>
  <c r="M39" i="69"/>
  <c r="J39" i="69"/>
  <c r="I39" i="69" s="1"/>
  <c r="H39" i="69"/>
  <c r="AB45" i="69"/>
  <c r="P45" i="69"/>
  <c r="H45" i="69"/>
  <c r="M45" i="69" s="1"/>
  <c r="AB42" i="69"/>
  <c r="J42" i="69"/>
  <c r="L42" i="69" s="1"/>
  <c r="P42" i="69" s="1"/>
  <c r="H42" i="69"/>
  <c r="M42" i="69" s="1"/>
  <c r="AB38" i="69"/>
  <c r="J38" i="69"/>
  <c r="L38" i="69" s="1"/>
  <c r="H38" i="69"/>
  <c r="M38" i="69" s="1"/>
  <c r="AB37" i="69"/>
  <c r="J37" i="69"/>
  <c r="L37" i="69" s="1"/>
  <c r="P37" i="69" s="1"/>
  <c r="H37" i="69"/>
  <c r="M37" i="69" s="1"/>
  <c r="AB34" i="69"/>
  <c r="J34" i="69"/>
  <c r="H34" i="69"/>
  <c r="M34" i="69" s="1"/>
  <c r="AB33" i="69"/>
  <c r="J33" i="69"/>
  <c r="H33" i="69"/>
  <c r="M33" i="69" s="1"/>
  <c r="AB30" i="69"/>
  <c r="L30" i="69"/>
  <c r="H30" i="69"/>
  <c r="M30" i="69" s="1"/>
  <c r="AB29" i="69"/>
  <c r="H29" i="69"/>
  <c r="M29" i="69" s="1"/>
  <c r="AB25" i="69"/>
  <c r="J25" i="69"/>
  <c r="I25" i="69" s="1"/>
  <c r="H25" i="69"/>
  <c r="M25" i="69" s="1"/>
  <c r="AB22" i="69"/>
  <c r="P22" i="69"/>
  <c r="H22" i="69"/>
  <c r="M22" i="69" s="1"/>
  <c r="AB19" i="69"/>
  <c r="J19" i="69"/>
  <c r="L19" i="69" s="1"/>
  <c r="H19" i="69"/>
  <c r="M19" i="69" s="1"/>
  <c r="AB18" i="69"/>
  <c r="J18" i="69"/>
  <c r="I18" i="69" s="1"/>
  <c r="H18" i="69"/>
  <c r="M18" i="69" s="1"/>
  <c r="AB17" i="69"/>
  <c r="J17" i="69"/>
  <c r="H17" i="69"/>
  <c r="M17" i="69" s="1"/>
  <c r="AB16" i="69"/>
  <c r="J16" i="69"/>
  <c r="L16" i="69" s="1"/>
  <c r="P16" i="69" s="1"/>
  <c r="H16" i="69"/>
  <c r="M16" i="69" s="1"/>
  <c r="AB15" i="69"/>
  <c r="J15" i="69"/>
  <c r="H15" i="69"/>
  <c r="M15" i="69" s="1"/>
  <c r="AO15" i="68"/>
  <c r="Z15" i="68"/>
  <c r="J15" i="68"/>
  <c r="H15" i="68"/>
  <c r="M15" i="68" s="1"/>
  <c r="D15" i="68"/>
  <c r="AN16" i="68"/>
  <c r="AM16" i="68"/>
  <c r="AL16" i="68"/>
  <c r="AK16" i="68"/>
  <c r="AJ16" i="68"/>
  <c r="AI16" i="68"/>
  <c r="AH16" i="68"/>
  <c r="AO16" i="67"/>
  <c r="AP16" i="67" s="1"/>
  <c r="Z16" i="67"/>
  <c r="L16" i="67"/>
  <c r="P16" i="67" s="1"/>
  <c r="H16" i="67"/>
  <c r="I16" i="67" s="1"/>
  <c r="AO20" i="67"/>
  <c r="AP20" i="67" s="1"/>
  <c r="Z20" i="67"/>
  <c r="J20" i="67"/>
  <c r="L20" i="67" s="1"/>
  <c r="H20" i="67"/>
  <c r="M20" i="67" s="1"/>
  <c r="L17" i="67"/>
  <c r="AO15" i="67"/>
  <c r="Z15" i="67"/>
  <c r="J15" i="67"/>
  <c r="I15" i="67" s="1"/>
  <c r="H15" i="67"/>
  <c r="M15" i="67" s="1"/>
  <c r="AA30" i="67"/>
  <c r="P30" i="67"/>
  <c r="AO23" i="67"/>
  <c r="AP23" i="67" s="1"/>
  <c r="Z23" i="67"/>
  <c r="J23" i="67"/>
  <c r="L23" i="67" s="1"/>
  <c r="P23" i="67" s="1"/>
  <c r="H23" i="67"/>
  <c r="M23" i="67" s="1"/>
  <c r="AO26" i="67"/>
  <c r="AP26" i="67" s="1"/>
  <c r="Z26" i="67"/>
  <c r="J26" i="67"/>
  <c r="L26" i="67" s="1"/>
  <c r="P26" i="67" s="1"/>
  <c r="H26" i="67"/>
  <c r="M26" i="67" s="1"/>
  <c r="AO27" i="67"/>
  <c r="AP27" i="67" s="1"/>
  <c r="Z27" i="67"/>
  <c r="J27" i="67"/>
  <c r="L27" i="67" s="1"/>
  <c r="P27" i="67" s="1"/>
  <c r="O27" i="67" s="1"/>
  <c r="H27" i="67"/>
  <c r="M27" i="67" s="1"/>
  <c r="I15" i="68" l="1"/>
  <c r="I15" i="69"/>
  <c r="I33" i="69"/>
  <c r="O23" i="67"/>
  <c r="AP15" i="67"/>
  <c r="I34" i="69"/>
  <c r="O16" i="67"/>
  <c r="I17" i="69"/>
  <c r="L18" i="69"/>
  <c r="L17" i="69"/>
  <c r="P17" i="69" s="1"/>
  <c r="I29" i="69"/>
  <c r="I37" i="69"/>
  <c r="I22" i="69"/>
  <c r="L33" i="69"/>
  <c r="P33" i="69" s="1"/>
  <c r="P29" i="69"/>
  <c r="K26" i="69"/>
  <c r="O26" i="69" s="1"/>
  <c r="Q26" i="69" s="1"/>
  <c r="I26" i="69"/>
  <c r="L39" i="69"/>
  <c r="I45" i="69"/>
  <c r="P19" i="69"/>
  <c r="K19" i="69"/>
  <c r="O19" i="69" s="1"/>
  <c r="P30" i="69"/>
  <c r="K30" i="69"/>
  <c r="P38" i="69"/>
  <c r="K38" i="69"/>
  <c r="I38" i="69"/>
  <c r="L15" i="69"/>
  <c r="K17" i="69"/>
  <c r="I19" i="69"/>
  <c r="K22" i="69"/>
  <c r="O22" i="69" s="1"/>
  <c r="Q22" i="69" s="1"/>
  <c r="L25" i="69"/>
  <c r="I30" i="69"/>
  <c r="L34" i="69"/>
  <c r="K37" i="69"/>
  <c r="O37" i="69" s="1"/>
  <c r="Q37" i="69" s="1"/>
  <c r="K45" i="69"/>
  <c r="AC45" i="69" s="1"/>
  <c r="K16" i="69"/>
  <c r="K42" i="69"/>
  <c r="O42" i="69" s="1"/>
  <c r="Q42" i="69" s="1"/>
  <c r="I16" i="69"/>
  <c r="I42" i="69"/>
  <c r="L15" i="68"/>
  <c r="M16" i="67"/>
  <c r="K16" i="67"/>
  <c r="P20" i="67"/>
  <c r="O20" i="67" s="1"/>
  <c r="K20" i="67"/>
  <c r="AA20" i="67" s="1"/>
  <c r="AB20" i="67" s="1"/>
  <c r="I26" i="67"/>
  <c r="I20" i="67"/>
  <c r="L15" i="67"/>
  <c r="O26" i="67"/>
  <c r="K23" i="67"/>
  <c r="AA23" i="67" s="1"/>
  <c r="AB23" i="67" s="1"/>
  <c r="I23" i="67"/>
  <c r="K26" i="67"/>
  <c r="AA26" i="67" s="1"/>
  <c r="AB26" i="67" s="1"/>
  <c r="K27" i="67"/>
  <c r="AA27" i="67" s="1"/>
  <c r="AB27" i="67" s="1"/>
  <c r="I27" i="67"/>
  <c r="AA16" i="67" l="1"/>
  <c r="AB16" i="67" s="1"/>
  <c r="O17" i="69"/>
  <c r="AC17" i="69"/>
  <c r="AD17" i="69" s="1"/>
  <c r="AJ17" i="69" s="1"/>
  <c r="AQ17" i="69" s="1"/>
  <c r="AR17" i="69" s="1"/>
  <c r="O16" i="69"/>
  <c r="AC16" i="69"/>
  <c r="AD16" i="69" s="1"/>
  <c r="AJ16" i="69" s="1"/>
  <c r="AQ16" i="69" s="1"/>
  <c r="AR16" i="69" s="1"/>
  <c r="O45" i="69"/>
  <c r="Q45" i="69" s="1"/>
  <c r="AD45" i="69"/>
  <c r="AJ45" i="69" s="1"/>
  <c r="AQ45" i="69" s="1"/>
  <c r="AR45" i="69" s="1"/>
  <c r="K29" i="69"/>
  <c r="O29" i="69" s="1"/>
  <c r="Q29" i="69" s="1"/>
  <c r="AD22" i="69"/>
  <c r="AJ22" i="69" s="1"/>
  <c r="K33" i="69"/>
  <c r="O33" i="69" s="1"/>
  <c r="Q33" i="69" s="1"/>
  <c r="AC19" i="69"/>
  <c r="AD19" i="69" s="1"/>
  <c r="AJ19" i="69" s="1"/>
  <c r="AC26" i="69"/>
  <c r="AD26" i="69" s="1"/>
  <c r="AJ26" i="69" s="1"/>
  <c r="P39" i="69"/>
  <c r="K39" i="69"/>
  <c r="P34" i="69"/>
  <c r="K34" i="69"/>
  <c r="P18" i="69"/>
  <c r="K18" i="69"/>
  <c r="O38" i="69"/>
  <c r="Q38" i="69" s="1"/>
  <c r="AC38" i="69"/>
  <c r="AD38" i="69" s="1"/>
  <c r="AJ38" i="69" s="1"/>
  <c r="O30" i="69"/>
  <c r="Q30" i="69" s="1"/>
  <c r="AD30" i="69"/>
  <c r="AJ30" i="69" s="1"/>
  <c r="AQ30" i="69" s="1"/>
  <c r="AR30" i="69" s="1"/>
  <c r="P15" i="69"/>
  <c r="O15" i="69" s="1"/>
  <c r="K15" i="69"/>
  <c r="AC37" i="69"/>
  <c r="AD37" i="69" s="1"/>
  <c r="AJ37" i="69" s="1"/>
  <c r="AJ29" i="69"/>
  <c r="AQ29" i="69" s="1"/>
  <c r="AR29" i="69" s="1"/>
  <c r="P25" i="69"/>
  <c r="K25" i="69"/>
  <c r="AC42" i="69"/>
  <c r="AD42" i="69" s="1"/>
  <c r="AJ42" i="69" s="1"/>
  <c r="P15" i="68"/>
  <c r="O15" i="68" s="1"/>
  <c r="K15" i="68"/>
  <c r="AB15" i="68" s="1"/>
  <c r="P15" i="67"/>
  <c r="O15" i="67" s="1"/>
  <c r="K15" i="67"/>
  <c r="AA15" i="67" s="1"/>
  <c r="AB15" i="67" s="1"/>
  <c r="AQ22" i="69" l="1"/>
  <c r="AR22" i="69" s="1"/>
  <c r="AC33" i="69"/>
  <c r="AD33" i="69" s="1"/>
  <c r="AJ33" i="69" s="1"/>
  <c r="AQ33" i="69" s="1"/>
  <c r="AR33" i="69" s="1"/>
  <c r="AQ19" i="69"/>
  <c r="AR19" i="69" s="1"/>
  <c r="O18" i="69"/>
  <c r="AC18" i="69"/>
  <c r="AD18" i="69" s="1"/>
  <c r="AJ18" i="69" s="1"/>
  <c r="AQ18" i="69" s="1"/>
  <c r="AR18" i="69" s="1"/>
  <c r="AC15" i="69"/>
  <c r="AD15" i="69" s="1"/>
  <c r="AJ15" i="69" s="1"/>
  <c r="AQ42" i="69"/>
  <c r="AR42" i="69" s="1"/>
  <c r="AQ38" i="69"/>
  <c r="AR38" i="69" s="1"/>
  <c r="AQ37" i="69"/>
  <c r="AR37" i="69" s="1"/>
  <c r="AQ26" i="69"/>
  <c r="AR26" i="69" s="1"/>
  <c r="O39" i="69"/>
  <c r="Q39" i="69" s="1"/>
  <c r="AC39" i="69"/>
  <c r="AD39" i="69" s="1"/>
  <c r="AJ39" i="69" s="1"/>
  <c r="O34" i="69"/>
  <c r="Q34" i="69" s="1"/>
  <c r="AC34" i="69"/>
  <c r="AD34" i="69" s="1"/>
  <c r="AJ34" i="69" s="1"/>
  <c r="AC25" i="69"/>
  <c r="AD25" i="69" s="1"/>
  <c r="AJ25" i="69" s="1"/>
  <c r="O25" i="69"/>
  <c r="Q25" i="69" s="1"/>
  <c r="AO30" i="67"/>
  <c r="AP30" i="67" s="1"/>
  <c r="Z30" i="67"/>
  <c r="H30" i="67"/>
  <c r="M30" i="67" s="1"/>
  <c r="AO17" i="67"/>
  <c r="Z17" i="67"/>
  <c r="H17" i="67"/>
  <c r="M17" i="67" s="1"/>
  <c r="AH25" i="66"/>
  <c r="AO18" i="66"/>
  <c r="AP18" i="66" s="1"/>
  <c r="Z18" i="66"/>
  <c r="J18" i="66"/>
  <c r="L18" i="66" s="1"/>
  <c r="H18" i="66"/>
  <c r="AO15" i="66"/>
  <c r="Z15" i="66"/>
  <c r="J15" i="66"/>
  <c r="L15" i="66" s="1"/>
  <c r="H15" i="66"/>
  <c r="M15" i="66" s="1"/>
  <c r="J28" i="65"/>
  <c r="L28" i="65" s="1"/>
  <c r="H28" i="65"/>
  <c r="M28" i="65" s="1"/>
  <c r="J25" i="65"/>
  <c r="L25" i="65" s="1"/>
  <c r="H25" i="65"/>
  <c r="M25" i="65" s="1"/>
  <c r="J22" i="65"/>
  <c r="L22" i="65" s="1"/>
  <c r="H22" i="65"/>
  <c r="M22" i="65" s="1"/>
  <c r="J19" i="65"/>
  <c r="L19" i="65" s="1"/>
  <c r="H19" i="65"/>
  <c r="M19" i="65" s="1"/>
  <c r="J18" i="65"/>
  <c r="L18" i="65" s="1"/>
  <c r="H18" i="65"/>
  <c r="M18" i="65" s="1"/>
  <c r="J17" i="65"/>
  <c r="L17" i="65" s="1"/>
  <c r="H17" i="65"/>
  <c r="M17" i="65" s="1"/>
  <c r="J16" i="65"/>
  <c r="L16" i="65" s="1"/>
  <c r="H16" i="65"/>
  <c r="M16" i="65" s="1"/>
  <c r="J15" i="65"/>
  <c r="L15" i="65" s="1"/>
  <c r="H15" i="65"/>
  <c r="M15" i="65" s="1"/>
  <c r="AO28" i="65"/>
  <c r="AP28" i="65" s="1"/>
  <c r="AO25" i="65"/>
  <c r="AP25" i="65" s="1"/>
  <c r="AO22" i="65"/>
  <c r="AP22" i="65" s="1"/>
  <c r="AO19" i="65"/>
  <c r="AP19" i="65" s="1"/>
  <c r="AO17" i="65"/>
  <c r="AP17" i="65" s="1"/>
  <c r="AO16" i="65"/>
  <c r="AP16" i="65" s="1"/>
  <c r="AO15" i="65"/>
  <c r="Z17" i="65"/>
  <c r="Z16" i="65"/>
  <c r="AH29" i="65"/>
  <c r="Z28" i="65"/>
  <c r="Z25" i="65"/>
  <c r="Z22" i="65"/>
  <c r="Z19" i="65"/>
  <c r="AO18" i="65"/>
  <c r="AP18" i="65" s="1"/>
  <c r="Z18" i="65"/>
  <c r="Z15" i="65"/>
  <c r="AA18" i="64"/>
  <c r="AA15" i="64"/>
  <c r="J15" i="64"/>
  <c r="AA15" i="63"/>
  <c r="AH19" i="64"/>
  <c r="AP18" i="64"/>
  <c r="Z18" i="64"/>
  <c r="J18" i="64"/>
  <c r="H18" i="64"/>
  <c r="M18" i="64" s="1"/>
  <c r="Z15" i="64"/>
  <c r="H15" i="64"/>
  <c r="M15" i="64" s="1"/>
  <c r="AO24" i="63"/>
  <c r="AP24" i="63" s="1"/>
  <c r="AO18" i="63"/>
  <c r="AP18" i="63" s="1"/>
  <c r="AO15" i="63"/>
  <c r="Z24" i="63"/>
  <c r="Z18" i="63"/>
  <c r="Z15" i="63"/>
  <c r="J24" i="63"/>
  <c r="L24" i="63" s="1"/>
  <c r="H24" i="63"/>
  <c r="M24" i="63" s="1"/>
  <c r="J18" i="63"/>
  <c r="L18" i="63" s="1"/>
  <c r="H18" i="63"/>
  <c r="M18" i="63" s="1"/>
  <c r="J15" i="63"/>
  <c r="H15" i="63"/>
  <c r="M15" i="63" s="1"/>
  <c r="AP42" i="62"/>
  <c r="Z42" i="62"/>
  <c r="J42" i="62"/>
  <c r="L42" i="62" s="1"/>
  <c r="H42" i="62"/>
  <c r="M42" i="62" s="1"/>
  <c r="AP45" i="62"/>
  <c r="Z45" i="62"/>
  <c r="J45" i="62"/>
  <c r="L45" i="62" s="1"/>
  <c r="H45" i="62"/>
  <c r="M45" i="62" s="1"/>
  <c r="Z32" i="62"/>
  <c r="Z29" i="62"/>
  <c r="Z28" i="62"/>
  <c r="Z25" i="62"/>
  <c r="Z22" i="62"/>
  <c r="AO33" i="62"/>
  <c r="AP33" i="62" s="1"/>
  <c r="AO32" i="62"/>
  <c r="AP32" i="62" s="1"/>
  <c r="AP29" i="62"/>
  <c r="AP28" i="62"/>
  <c r="AP25" i="62"/>
  <c r="AP22" i="62"/>
  <c r="AP20" i="62"/>
  <c r="AP19" i="62"/>
  <c r="AA20" i="62"/>
  <c r="Z20" i="62"/>
  <c r="Z19" i="62"/>
  <c r="H21" i="62"/>
  <c r="M21" i="62" s="1"/>
  <c r="H20" i="62"/>
  <c r="K20" i="62" s="1"/>
  <c r="H19" i="62"/>
  <c r="M19" i="62" s="1"/>
  <c r="J33" i="62"/>
  <c r="J32" i="62"/>
  <c r="J29" i="62"/>
  <c r="L29" i="62" s="1"/>
  <c r="J28" i="62"/>
  <c r="L28" i="62" s="1"/>
  <c r="J25" i="62"/>
  <c r="L25" i="62" s="1"/>
  <c r="J22" i="62"/>
  <c r="L22" i="62" s="1"/>
  <c r="J21" i="62"/>
  <c r="L21" i="62" s="1"/>
  <c r="J20" i="62"/>
  <c r="J19" i="62"/>
  <c r="L19" i="62" s="1"/>
  <c r="J18" i="62"/>
  <c r="L18" i="62" s="1"/>
  <c r="P18" i="62" s="1"/>
  <c r="H33" i="62"/>
  <c r="M33" i="62" s="1"/>
  <c r="H32" i="62"/>
  <c r="M32" i="62" s="1"/>
  <c r="H29" i="62"/>
  <c r="M29" i="62" s="1"/>
  <c r="H28" i="62"/>
  <c r="M28" i="62" s="1"/>
  <c r="H25" i="62"/>
  <c r="M25" i="62" s="1"/>
  <c r="H22" i="62"/>
  <c r="M22" i="62" s="1"/>
  <c r="Z33" i="62"/>
  <c r="AP38" i="62"/>
  <c r="Z38" i="62"/>
  <c r="J38" i="62"/>
  <c r="L38" i="62" s="1"/>
  <c r="P38" i="62" s="1"/>
  <c r="H38" i="62"/>
  <c r="M38" i="62" s="1"/>
  <c r="AP21" i="62"/>
  <c r="Z21" i="62"/>
  <c r="Z18" i="62"/>
  <c r="H18" i="62"/>
  <c r="M18" i="62" s="1"/>
  <c r="AO15" i="62"/>
  <c r="Z15" i="62"/>
  <c r="J15" i="62"/>
  <c r="H15" i="62"/>
  <c r="M15" i="62" s="1"/>
  <c r="Z37" i="60"/>
  <c r="Z34" i="60"/>
  <c r="Z31" i="60"/>
  <c r="Z26" i="60"/>
  <c r="Z24" i="60"/>
  <c r="Z22" i="60"/>
  <c r="Z21" i="60"/>
  <c r="Z18" i="60"/>
  <c r="AP17" i="61"/>
  <c r="AO29" i="61"/>
  <c r="AP29" i="61" s="1"/>
  <c r="AP35" i="61"/>
  <c r="AP32" i="61"/>
  <c r="AA32" i="61"/>
  <c r="Z26" i="61"/>
  <c r="Z21" i="61"/>
  <c r="Z35" i="61"/>
  <c r="Z32" i="61"/>
  <c r="Z29" i="61"/>
  <c r="Z18" i="61"/>
  <c r="Z17" i="61"/>
  <c r="Z16" i="61"/>
  <c r="Z15" i="61"/>
  <c r="M35" i="61"/>
  <c r="J35" i="61"/>
  <c r="I35" i="61" s="1"/>
  <c r="J32" i="61"/>
  <c r="J29" i="61"/>
  <c r="J26" i="61"/>
  <c r="J21" i="61"/>
  <c r="I21" i="61" s="1"/>
  <c r="J18" i="61"/>
  <c r="L18" i="61" s="1"/>
  <c r="J17" i="61"/>
  <c r="L17" i="61" s="1"/>
  <c r="J16" i="61"/>
  <c r="L16" i="61" s="1"/>
  <c r="H35" i="61"/>
  <c r="H32" i="61"/>
  <c r="M32" i="61" s="1"/>
  <c r="H29" i="61"/>
  <c r="M29" i="61" s="1"/>
  <c r="H26" i="61"/>
  <c r="M26" i="61" s="1"/>
  <c r="H21" i="61"/>
  <c r="M21" i="61" s="1"/>
  <c r="H18" i="61"/>
  <c r="M18" i="61" s="1"/>
  <c r="H17" i="61"/>
  <c r="I17" i="61" s="1"/>
  <c r="H16" i="61"/>
  <c r="M16" i="61" s="1"/>
  <c r="AP18" i="61"/>
  <c r="AP21" i="61"/>
  <c r="AP15" i="61"/>
  <c r="J15" i="61"/>
  <c r="L15" i="61" s="1"/>
  <c r="P15" i="61" s="1"/>
  <c r="O15" i="61" s="1"/>
  <c r="H15" i="61"/>
  <c r="M15" i="61" s="1"/>
  <c r="AA70" i="57"/>
  <c r="AA69" i="57"/>
  <c r="Z15" i="57"/>
  <c r="Z23" i="60"/>
  <c r="J23" i="60"/>
  <c r="L23" i="60" s="1"/>
  <c r="J37" i="60"/>
  <c r="L37" i="60" s="1"/>
  <c r="J34" i="60"/>
  <c r="L34" i="60" s="1"/>
  <c r="J31" i="60"/>
  <c r="L31" i="60" s="1"/>
  <c r="L26" i="60"/>
  <c r="J24" i="60"/>
  <c r="L24" i="60" s="1"/>
  <c r="J22" i="60"/>
  <c r="L22" i="60" s="1"/>
  <c r="P22" i="60" s="1"/>
  <c r="J21" i="60"/>
  <c r="L21" i="60" s="1"/>
  <c r="H37" i="60"/>
  <c r="M37" i="60" s="1"/>
  <c r="H26" i="60"/>
  <c r="H24" i="60"/>
  <c r="M24" i="60" s="1"/>
  <c r="H23" i="60"/>
  <c r="M23" i="60" s="1"/>
  <c r="H22" i="60"/>
  <c r="M22" i="60" s="1"/>
  <c r="H21" i="60"/>
  <c r="M21" i="60" s="1"/>
  <c r="H34" i="60"/>
  <c r="M34" i="60" s="1"/>
  <c r="H31" i="60"/>
  <c r="J18" i="60"/>
  <c r="L18" i="60" s="1"/>
  <c r="H18" i="60"/>
  <c r="I18" i="60" s="1"/>
  <c r="I31" i="60" l="1"/>
  <c r="M26" i="60"/>
  <c r="AA26" i="60"/>
  <c r="O18" i="62"/>
  <c r="AB20" i="62"/>
  <c r="M31" i="60"/>
  <c r="I26" i="61"/>
  <c r="M17" i="61"/>
  <c r="I29" i="61"/>
  <c r="AP15" i="63"/>
  <c r="AP17" i="67"/>
  <c r="AP31" i="67" s="1"/>
  <c r="AO31" i="67"/>
  <c r="AP15" i="66"/>
  <c r="AP15" i="65"/>
  <c r="AP15" i="62"/>
  <c r="O22" i="60"/>
  <c r="L21" i="61"/>
  <c r="K21" i="61" s="1"/>
  <c r="AA21" i="61" s="1"/>
  <c r="AB21" i="61" s="1"/>
  <c r="O18" i="64"/>
  <c r="AQ15" i="69"/>
  <c r="AJ46" i="69"/>
  <c r="I22" i="60"/>
  <c r="I16" i="61"/>
  <c r="L35" i="61"/>
  <c r="K35" i="61" s="1"/>
  <c r="AA35" i="61" s="1"/>
  <c r="AB35" i="61" s="1"/>
  <c r="M18" i="60"/>
  <c r="I32" i="61"/>
  <c r="AB15" i="63"/>
  <c r="AQ39" i="69"/>
  <c r="AR39" i="69" s="1"/>
  <c r="AQ34" i="69"/>
  <c r="AR34" i="69" s="1"/>
  <c r="AQ25" i="69"/>
  <c r="AR25" i="69" s="1"/>
  <c r="O30" i="67"/>
  <c r="AB30" i="67"/>
  <c r="K30" i="67"/>
  <c r="I30" i="67"/>
  <c r="P17" i="67"/>
  <c r="O17" i="67" s="1"/>
  <c r="K17" i="67"/>
  <c r="AA17" i="67" s="1"/>
  <c r="AB17" i="67" s="1"/>
  <c r="I17" i="67"/>
  <c r="I18" i="66"/>
  <c r="M18" i="66"/>
  <c r="K18" i="66"/>
  <c r="P18" i="66"/>
  <c r="O18" i="66" s="1"/>
  <c r="P15" i="66"/>
  <c r="O15" i="66" s="1"/>
  <c r="K15" i="66"/>
  <c r="AA15" i="66" s="1"/>
  <c r="AB15" i="66" s="1"/>
  <c r="I15" i="66"/>
  <c r="P28" i="65"/>
  <c r="O28" i="65" s="1"/>
  <c r="K28" i="65"/>
  <c r="AA28" i="65" s="1"/>
  <c r="AB28" i="65" s="1"/>
  <c r="I28" i="65"/>
  <c r="P25" i="65"/>
  <c r="O25" i="65" s="1"/>
  <c r="K25" i="65"/>
  <c r="AA25" i="65" s="1"/>
  <c r="AB25" i="65" s="1"/>
  <c r="I25" i="65"/>
  <c r="P22" i="65"/>
  <c r="O22" i="65" s="1"/>
  <c r="K22" i="65"/>
  <c r="AA22" i="65" s="1"/>
  <c r="AB22" i="65" s="1"/>
  <c r="I22" i="65"/>
  <c r="P19" i="65"/>
  <c r="O19" i="65" s="1"/>
  <c r="K19" i="65"/>
  <c r="AA19" i="65" s="1"/>
  <c r="AB19" i="65" s="1"/>
  <c r="I19" i="65"/>
  <c r="P18" i="65"/>
  <c r="O18" i="65" s="1"/>
  <c r="K18" i="65"/>
  <c r="AA18" i="65" s="1"/>
  <c r="AB18" i="65" s="1"/>
  <c r="I18" i="65"/>
  <c r="P17" i="65"/>
  <c r="O17" i="65" s="1"/>
  <c r="K17" i="65"/>
  <c r="AA17" i="65" s="1"/>
  <c r="AB17" i="65" s="1"/>
  <c r="I17" i="65"/>
  <c r="P16" i="65"/>
  <c r="O16" i="65" s="1"/>
  <c r="K16" i="65"/>
  <c r="AA16" i="65" s="1"/>
  <c r="AB16" i="65" s="1"/>
  <c r="I16" i="65"/>
  <c r="P15" i="65"/>
  <c r="O15" i="65" s="1"/>
  <c r="K15" i="65"/>
  <c r="AA15" i="65" s="1"/>
  <c r="AB15" i="65" s="1"/>
  <c r="I15" i="65"/>
  <c r="I15" i="64"/>
  <c r="O15" i="64"/>
  <c r="AB18" i="64"/>
  <c r="K18" i="64"/>
  <c r="K15" i="64"/>
  <c r="I18" i="64"/>
  <c r="P24" i="63"/>
  <c r="O24" i="63" s="1"/>
  <c r="K24" i="63"/>
  <c r="AA24" i="63" s="1"/>
  <c r="AB24" i="63" s="1"/>
  <c r="I24" i="63"/>
  <c r="P18" i="63"/>
  <c r="O18" i="63" s="1"/>
  <c r="K18" i="63"/>
  <c r="AA18" i="63" s="1"/>
  <c r="AB18" i="63" s="1"/>
  <c r="I18" i="63"/>
  <c r="P15" i="63"/>
  <c r="O15" i="63" s="1"/>
  <c r="K15" i="63"/>
  <c r="I15" i="63"/>
  <c r="P42" i="62"/>
  <c r="O42" i="62" s="1"/>
  <c r="K42" i="62"/>
  <c r="AA42" i="62" s="1"/>
  <c r="AB42" i="62" s="1"/>
  <c r="I42" i="62"/>
  <c r="P45" i="62"/>
  <c r="O45" i="62" s="1"/>
  <c r="K45" i="62"/>
  <c r="AA45" i="62" s="1"/>
  <c r="I45" i="62"/>
  <c r="M20" i="62"/>
  <c r="O38" i="62"/>
  <c r="K18" i="62"/>
  <c r="AA18" i="62" s="1"/>
  <c r="P33" i="62"/>
  <c r="O33" i="62" s="1"/>
  <c r="K33" i="62"/>
  <c r="I33" i="62"/>
  <c r="P32" i="62"/>
  <c r="O32" i="62" s="1"/>
  <c r="K32" i="62"/>
  <c r="I32" i="62"/>
  <c r="P29" i="62"/>
  <c r="O29" i="62" s="1"/>
  <c r="K29" i="62"/>
  <c r="AA29" i="62" s="1"/>
  <c r="AB29" i="62" s="1"/>
  <c r="I29" i="62"/>
  <c r="P28" i="62"/>
  <c r="O28" i="62" s="1"/>
  <c r="K28" i="62"/>
  <c r="AA28" i="62" s="1"/>
  <c r="AB28" i="62" s="1"/>
  <c r="I28" i="62"/>
  <c r="P25" i="62"/>
  <c r="O25" i="62" s="1"/>
  <c r="K25" i="62"/>
  <c r="AA25" i="62" s="1"/>
  <c r="AB25" i="62" s="1"/>
  <c r="I25" i="62"/>
  <c r="P22" i="62"/>
  <c r="O22" i="62" s="1"/>
  <c r="K22" i="62"/>
  <c r="AA22" i="62" s="1"/>
  <c r="AB22" i="62" s="1"/>
  <c r="I22" i="62"/>
  <c r="P21" i="62"/>
  <c r="O21" i="62" s="1"/>
  <c r="K21" i="62"/>
  <c r="AA21" i="62" s="1"/>
  <c r="AB21" i="62" s="1"/>
  <c r="I21" i="62"/>
  <c r="P20" i="62"/>
  <c r="O20" i="62" s="1"/>
  <c r="I20" i="62"/>
  <c r="P19" i="62"/>
  <c r="O19" i="62" s="1"/>
  <c r="K19" i="62"/>
  <c r="AA19" i="62" s="1"/>
  <c r="AB19" i="62" s="1"/>
  <c r="I19" i="62"/>
  <c r="I18" i="62"/>
  <c r="K38" i="62"/>
  <c r="AA38" i="62" s="1"/>
  <c r="AB38" i="62" s="1"/>
  <c r="I38" i="62"/>
  <c r="P15" i="62"/>
  <c r="O15" i="62" s="1"/>
  <c r="K15" i="62"/>
  <c r="I15" i="62"/>
  <c r="AH26" i="61"/>
  <c r="K18" i="61"/>
  <c r="AA18" i="61" s="1"/>
  <c r="AB18" i="61" s="1"/>
  <c r="P18" i="61"/>
  <c r="O18" i="61" s="1"/>
  <c r="K17" i="61"/>
  <c r="AA17" i="61" s="1"/>
  <c r="AB17" i="61" s="1"/>
  <c r="P17" i="61"/>
  <c r="O17" i="61" s="1"/>
  <c r="P16" i="61"/>
  <c r="O16" i="61" s="1"/>
  <c r="K16" i="61"/>
  <c r="AA16" i="61" s="1"/>
  <c r="AB16" i="61" s="1"/>
  <c r="K26" i="61"/>
  <c r="P26" i="61"/>
  <c r="O26" i="61" s="1"/>
  <c r="I18" i="61"/>
  <c r="P21" i="61"/>
  <c r="O21" i="61" s="1"/>
  <c r="P35" i="61"/>
  <c r="O35" i="61" s="1"/>
  <c r="I15" i="61"/>
  <c r="K15" i="61"/>
  <c r="AA15" i="61" s="1"/>
  <c r="AB15" i="61" s="1"/>
  <c r="P37" i="60"/>
  <c r="O37" i="60" s="1"/>
  <c r="K37" i="60"/>
  <c r="AA37" i="60" s="1"/>
  <c r="AB37" i="60" s="1"/>
  <c r="AH37" i="60" s="1"/>
  <c r="I37" i="60"/>
  <c r="P34" i="60"/>
  <c r="O34" i="60" s="1"/>
  <c r="Q34" i="60" s="1"/>
  <c r="K34" i="60"/>
  <c r="AA34" i="60" s="1"/>
  <c r="AB34" i="60" s="1"/>
  <c r="AH34" i="60" s="1"/>
  <c r="I34" i="60"/>
  <c r="P31" i="60"/>
  <c r="O31" i="60" s="1"/>
  <c r="K31" i="60"/>
  <c r="P26" i="60"/>
  <c r="O26" i="60" s="1"/>
  <c r="K26" i="60"/>
  <c r="AB26" i="60" s="1"/>
  <c r="I26" i="60"/>
  <c r="P24" i="60"/>
  <c r="O24" i="60" s="1"/>
  <c r="K24" i="60"/>
  <c r="AA24" i="60" s="1"/>
  <c r="AB24" i="60" s="1"/>
  <c r="AH24" i="60" s="1"/>
  <c r="I24" i="60"/>
  <c r="P23" i="60"/>
  <c r="O23" i="60" s="1"/>
  <c r="K23" i="60"/>
  <c r="AA23" i="60" s="1"/>
  <c r="AB23" i="60" s="1"/>
  <c r="AH23" i="60" s="1"/>
  <c r="I23" i="60"/>
  <c r="K22" i="60"/>
  <c r="AA22" i="60" s="1"/>
  <c r="AB22" i="60" s="1"/>
  <c r="AH22" i="60" s="1"/>
  <c r="P21" i="60"/>
  <c r="O21" i="60" s="1"/>
  <c r="K21" i="60"/>
  <c r="AA21" i="60" s="1"/>
  <c r="AB21" i="60" s="1"/>
  <c r="AH21" i="60" s="1"/>
  <c r="I21" i="60"/>
  <c r="Q31" i="60"/>
  <c r="P18" i="60"/>
  <c r="O18" i="60" s="1"/>
  <c r="K18" i="60"/>
  <c r="AP31" i="57"/>
  <c r="AP30" i="57"/>
  <c r="AP29" i="57"/>
  <c r="AH18" i="57"/>
  <c r="AH17" i="57"/>
  <c r="AH16" i="57"/>
  <c r="H15" i="57"/>
  <c r="M15" i="57" s="1"/>
  <c r="H70" i="57"/>
  <c r="I70" i="57" s="1"/>
  <c r="H69" i="57"/>
  <c r="H66" i="57"/>
  <c r="H63" i="57"/>
  <c r="M63" i="57" s="1"/>
  <c r="H60" i="57"/>
  <c r="M60" i="57" s="1"/>
  <c r="H58" i="57"/>
  <c r="M58" i="57" s="1"/>
  <c r="H54" i="57"/>
  <c r="H48" i="57"/>
  <c r="H45" i="57"/>
  <c r="H44" i="57"/>
  <c r="H41" i="57"/>
  <c r="H40" i="57"/>
  <c r="H39" i="57"/>
  <c r="M39" i="57" s="1"/>
  <c r="H38" i="57"/>
  <c r="M38" i="57" s="1"/>
  <c r="H37" i="57"/>
  <c r="H34" i="57"/>
  <c r="M34" i="57" s="1"/>
  <c r="H31" i="57"/>
  <c r="H30" i="57"/>
  <c r="H29" i="57"/>
  <c r="H26" i="57"/>
  <c r="H23" i="57"/>
  <c r="M23" i="57" s="1"/>
  <c r="H19" i="57"/>
  <c r="H18" i="57"/>
  <c r="H17" i="57"/>
  <c r="H16" i="57"/>
  <c r="J70" i="57"/>
  <c r="L70" i="57" s="1"/>
  <c r="P70" i="57" s="1"/>
  <c r="J69" i="57"/>
  <c r="L69" i="57" s="1"/>
  <c r="P69" i="57" s="1"/>
  <c r="M69" i="57"/>
  <c r="J66" i="57"/>
  <c r="L66" i="57" s="1"/>
  <c r="P66" i="57" s="1"/>
  <c r="J63" i="57"/>
  <c r="L63" i="57" s="1"/>
  <c r="K63" i="57" s="1"/>
  <c r="L60" i="57"/>
  <c r="P60" i="57" s="1"/>
  <c r="J58" i="57"/>
  <c r="J54" i="57"/>
  <c r="L54" i="57" s="1"/>
  <c r="P54" i="57" s="1"/>
  <c r="J48" i="57"/>
  <c r="L48" i="57" s="1"/>
  <c r="P48" i="57" s="1"/>
  <c r="J45" i="57"/>
  <c r="L45" i="57" s="1"/>
  <c r="P45" i="57" s="1"/>
  <c r="J44" i="57"/>
  <c r="L44" i="57" s="1"/>
  <c r="P44" i="57" s="1"/>
  <c r="J41" i="57"/>
  <c r="L41" i="57" s="1"/>
  <c r="P41" i="57" s="1"/>
  <c r="M41" i="57"/>
  <c r="J40" i="57"/>
  <c r="L40" i="57" s="1"/>
  <c r="P40" i="57" s="1"/>
  <c r="M40" i="57"/>
  <c r="J39" i="57"/>
  <c r="L39" i="57" s="1"/>
  <c r="P39" i="57" s="1"/>
  <c r="J38" i="57"/>
  <c r="L38" i="57" s="1"/>
  <c r="P38" i="57" s="1"/>
  <c r="J37" i="57"/>
  <c r="L37" i="57" s="1"/>
  <c r="P37" i="57" s="1"/>
  <c r="J34" i="57"/>
  <c r="L34" i="57" s="1"/>
  <c r="P34" i="57" s="1"/>
  <c r="J31" i="57"/>
  <c r="L31" i="57" s="1"/>
  <c r="P31" i="57" s="1"/>
  <c r="J30" i="57"/>
  <c r="L30" i="57" s="1"/>
  <c r="P30" i="57" s="1"/>
  <c r="J29" i="57"/>
  <c r="L29" i="57" s="1"/>
  <c r="P29" i="57" s="1"/>
  <c r="M29" i="57"/>
  <c r="J26" i="57"/>
  <c r="L26" i="57" s="1"/>
  <c r="P26" i="57" s="1"/>
  <c r="J23" i="57"/>
  <c r="L23" i="57" s="1"/>
  <c r="P23" i="57" s="1"/>
  <c r="J19" i="57"/>
  <c r="L19" i="57" s="1"/>
  <c r="P19" i="57" s="1"/>
  <c r="M19" i="57"/>
  <c r="J18" i="57"/>
  <c r="L18" i="57" s="1"/>
  <c r="P18" i="57" s="1"/>
  <c r="M17" i="57"/>
  <c r="J17" i="57"/>
  <c r="L17" i="57" s="1"/>
  <c r="P17" i="57" s="1"/>
  <c r="J16" i="57"/>
  <c r="L16" i="57" s="1"/>
  <c r="J15" i="57"/>
  <c r="I15" i="57" s="1"/>
  <c r="Z54" i="57"/>
  <c r="Z18" i="57"/>
  <c r="Z70" i="57"/>
  <c r="AB70" i="57" s="1"/>
  <c r="Z40" i="57"/>
  <c r="Z39" i="57"/>
  <c r="Z37" i="57"/>
  <c r="Z34" i="57"/>
  <c r="Z31" i="57"/>
  <c r="Z29" i="57"/>
  <c r="Z26" i="57"/>
  <c r="Z16" i="57"/>
  <c r="Z17" i="57"/>
  <c r="Z19" i="57"/>
  <c r="Z23" i="57"/>
  <c r="Z30" i="57"/>
  <c r="Z38" i="57"/>
  <c r="Z41" i="57"/>
  <c r="Z44" i="57"/>
  <c r="Z45" i="57"/>
  <c r="Z48" i="57"/>
  <c r="Z58" i="57"/>
  <c r="Z60" i="57"/>
  <c r="Z63" i="57"/>
  <c r="Z66" i="57"/>
  <c r="Z69" i="57"/>
  <c r="AB69" i="57" s="1"/>
  <c r="AA31" i="60" l="1"/>
  <c r="AB31" i="60" s="1"/>
  <c r="AH31" i="60" s="1"/>
  <c r="K16" i="57"/>
  <c r="M70" i="57"/>
  <c r="P63" i="57"/>
  <c r="I69" i="57"/>
  <c r="Q26" i="60"/>
  <c r="I58" i="57"/>
  <c r="I66" i="57"/>
  <c r="I40" i="57"/>
  <c r="K18" i="57"/>
  <c r="K54" i="57"/>
  <c r="K29" i="57"/>
  <c r="I18" i="57"/>
  <c r="I29" i="57"/>
  <c r="I37" i="57"/>
  <c r="I41" i="57"/>
  <c r="I54" i="57"/>
  <c r="I23" i="57"/>
  <c r="K37" i="57"/>
  <c r="I19" i="57"/>
  <c r="I30" i="57"/>
  <c r="I44" i="57"/>
  <c r="I39" i="57"/>
  <c r="K41" i="57"/>
  <c r="AR15" i="69"/>
  <c r="AO21" i="60"/>
  <c r="AP21" i="60" s="1"/>
  <c r="AO22" i="60"/>
  <c r="AP22" i="60" s="1"/>
  <c r="AO26" i="60"/>
  <c r="AO37" i="60"/>
  <c r="AP37" i="60" s="1"/>
  <c r="AO31" i="60"/>
  <c r="AP31" i="60" s="1"/>
  <c r="AO34" i="60"/>
  <c r="AP34" i="60" s="1"/>
  <c r="AO24" i="60"/>
  <c r="AP24" i="60" s="1"/>
  <c r="AA29" i="57"/>
  <c r="AB29" i="57" s="1"/>
  <c r="AH29" i="57" s="1"/>
  <c r="P16" i="57"/>
  <c r="I26" i="57"/>
  <c r="K19" i="57"/>
  <c r="AA19" i="57" s="1"/>
  <c r="AB19" i="57" s="1"/>
  <c r="AH19" i="57" s="1"/>
  <c r="AO19" i="57" s="1"/>
  <c r="K44" i="57"/>
  <c r="K66" i="57"/>
  <c r="O66" i="57" s="1"/>
  <c r="AO23" i="60"/>
  <c r="AP23" i="60" s="1"/>
  <c r="M54" i="57"/>
  <c r="I63" i="57"/>
  <c r="K23" i="57"/>
  <c r="AA23" i="57" s="1"/>
  <c r="AB23" i="57" s="1"/>
  <c r="AH23" i="57" s="1"/>
  <c r="AO23" i="57" s="1"/>
  <c r="K31" i="57"/>
  <c r="K39" i="57"/>
  <c r="AA39" i="57" s="1"/>
  <c r="AB39" i="57" s="1"/>
  <c r="AH39" i="57" s="1"/>
  <c r="AO39" i="57" s="1"/>
  <c r="K45" i="57"/>
  <c r="L15" i="57"/>
  <c r="K15" i="57" s="1"/>
  <c r="AA15" i="57" s="1"/>
  <c r="AB15" i="57" s="1"/>
  <c r="AH15" i="57" s="1"/>
  <c r="K69" i="57"/>
  <c r="O69" i="57" s="1"/>
  <c r="Q69" i="57" s="1"/>
  <c r="AA18" i="60"/>
  <c r="AB18" i="60" s="1"/>
  <c r="AH18" i="60" s="1"/>
  <c r="AO18" i="60" s="1"/>
  <c r="AO42" i="60" s="1"/>
  <c r="I16" i="57"/>
  <c r="I31" i="57"/>
  <c r="I45" i="57"/>
  <c r="AO26" i="61"/>
  <c r="AH39" i="61"/>
  <c r="AA41" i="57"/>
  <c r="AB41" i="57" s="1"/>
  <c r="AH41" i="57" s="1"/>
  <c r="AO41" i="57" s="1"/>
  <c r="I17" i="57"/>
  <c r="I34" i="57"/>
  <c r="I48" i="57"/>
  <c r="K30" i="57"/>
  <c r="K38" i="57"/>
  <c r="AA38" i="57" s="1"/>
  <c r="AB38" i="57" s="1"/>
  <c r="AH38" i="57" s="1"/>
  <c r="AO38" i="57" s="1"/>
  <c r="M66" i="57"/>
  <c r="AA63" i="57"/>
  <c r="AB63" i="57" s="1"/>
  <c r="AH63" i="57" s="1"/>
  <c r="AO63" i="57" s="1"/>
  <c r="I38" i="57"/>
  <c r="K17" i="57"/>
  <c r="O17" i="57" s="1"/>
  <c r="K26" i="57"/>
  <c r="K34" i="57"/>
  <c r="AA34" i="57" s="1"/>
  <c r="AB34" i="57" s="1"/>
  <c r="AH34" i="57" s="1"/>
  <c r="K40" i="57"/>
  <c r="AA40" i="57" s="1"/>
  <c r="AB40" i="57" s="1"/>
  <c r="AH40" i="57" s="1"/>
  <c r="AO40" i="57" s="1"/>
  <c r="K48" i="57"/>
  <c r="K60" i="57"/>
  <c r="K70" i="57"/>
  <c r="O70" i="57" s="1"/>
  <c r="Q70" i="57" s="1"/>
  <c r="AA18" i="66"/>
  <c r="AB18" i="66" s="1"/>
  <c r="AB15" i="64"/>
  <c r="AB45" i="62"/>
  <c r="AB18" i="62"/>
  <c r="K29" i="61"/>
  <c r="P29" i="61"/>
  <c r="O29" i="61" s="1"/>
  <c r="K32" i="61"/>
  <c r="AB32" i="61" s="1"/>
  <c r="O32" i="61"/>
  <c r="M48" i="57"/>
  <c r="AA48" i="57" s="1"/>
  <c r="M45" i="57"/>
  <c r="M44" i="57"/>
  <c r="O44" i="57" s="1"/>
  <c r="O38" i="57"/>
  <c r="Q38" i="57" s="1"/>
  <c r="M37" i="57"/>
  <c r="M31" i="57"/>
  <c r="M30" i="57"/>
  <c r="M26" i="57"/>
  <c r="M18" i="57"/>
  <c r="M16" i="57"/>
  <c r="O63" i="57"/>
  <c r="Q63" i="57" s="1"/>
  <c r="L58" i="57"/>
  <c r="O41" i="57"/>
  <c r="Q41" i="57" s="1"/>
  <c r="O29" i="57"/>
  <c r="Q29" i="57" s="1"/>
  <c r="AP26" i="60" l="1"/>
  <c r="AN49" i="60"/>
  <c r="AH42" i="60"/>
  <c r="O30" i="57"/>
  <c r="P15" i="57"/>
  <c r="O15" i="57" s="1"/>
  <c r="O16" i="57"/>
  <c r="AA54" i="57"/>
  <c r="AB54" i="57" s="1"/>
  <c r="O18" i="57"/>
  <c r="O37" i="57"/>
  <c r="O60" i="57"/>
  <c r="Q60" i="57" s="1"/>
  <c r="AA60" i="57"/>
  <c r="O54" i="57"/>
  <c r="O34" i="57"/>
  <c r="Q34" i="57" s="1"/>
  <c r="O23" i="57"/>
  <c r="Q23" i="57" s="1"/>
  <c r="AB60" i="57"/>
  <c r="AO60" i="57" s="1"/>
  <c r="AP60" i="57" s="1"/>
  <c r="AP26" i="61"/>
  <c r="AP15" i="57"/>
  <c r="AP18" i="60"/>
  <c r="AP42" i="60" s="1"/>
  <c r="AA31" i="57"/>
  <c r="AB31" i="57" s="1"/>
  <c r="AH31" i="57" s="1"/>
  <c r="AA45" i="57"/>
  <c r="AB45" i="57" s="1"/>
  <c r="AH45" i="57" s="1"/>
  <c r="AO45" i="57" s="1"/>
  <c r="AP45" i="57" s="1"/>
  <c r="AO55" i="57"/>
  <c r="AP55" i="57" s="1"/>
  <c r="O26" i="57"/>
  <c r="Q26" i="57" s="1"/>
  <c r="AA26" i="57"/>
  <c r="AB26" i="57" s="1"/>
  <c r="AH26" i="57" s="1"/>
  <c r="O31" i="57"/>
  <c r="Q31" i="57" s="1"/>
  <c r="O40" i="57"/>
  <c r="Q40" i="57" s="1"/>
  <c r="AB48" i="57"/>
  <c r="AH48" i="57" s="1"/>
  <c r="AO54" i="57"/>
  <c r="AP54" i="57" s="1"/>
  <c r="Q54" i="57"/>
  <c r="O19" i="57"/>
  <c r="O39" i="57"/>
  <c r="Q39" i="57" s="1"/>
  <c r="P58" i="57"/>
  <c r="K58" i="57"/>
  <c r="AA30" i="57"/>
  <c r="AB30" i="57" s="1"/>
  <c r="AH30" i="57" s="1"/>
  <c r="Q30" i="57"/>
  <c r="AA44" i="57"/>
  <c r="AB44" i="57" s="1"/>
  <c r="AH44" i="57" s="1"/>
  <c r="AO44" i="57" s="1"/>
  <c r="AP44" i="57" s="1"/>
  <c r="Q44" i="57"/>
  <c r="AA66" i="57"/>
  <c r="AB66" i="57" s="1"/>
  <c r="AH66" i="57" s="1"/>
  <c r="AO66" i="57" s="1"/>
  <c r="AP66" i="57" s="1"/>
  <c r="Q66" i="57"/>
  <c r="AA37" i="57"/>
  <c r="AB37" i="57" s="1"/>
  <c r="AH37" i="57" s="1"/>
  <c r="AP37" i="57" s="1"/>
  <c r="Q37" i="57"/>
  <c r="O48" i="57"/>
  <c r="Q48" i="57" s="1"/>
  <c r="O45" i="57"/>
  <c r="Q45" i="57" s="1"/>
  <c r="AP38" i="57"/>
  <c r="AP70" i="57"/>
  <c r="AP40" i="57"/>
  <c r="AP69" i="57"/>
  <c r="AP63" i="57"/>
  <c r="AP41" i="57"/>
  <c r="AP39" i="57"/>
  <c r="AP34" i="57"/>
  <c r="AP26" i="57"/>
  <c r="AP23" i="57"/>
  <c r="AP19" i="57"/>
  <c r="AO18" i="57"/>
  <c r="AO16" i="57"/>
  <c r="AP71" i="57" l="1"/>
  <c r="AO48" i="57"/>
  <c r="AP48" i="57" s="1"/>
  <c r="AA58" i="57"/>
  <c r="AB58" i="57" s="1"/>
  <c r="AH58" i="57" s="1"/>
  <c r="AO58" i="57" s="1"/>
  <c r="AP58" i="57" s="1"/>
  <c r="O58" i="57"/>
  <c r="Q58" i="57" s="1"/>
  <c r="V66" i="53"/>
  <c r="U66" i="53"/>
  <c r="AF66" i="53" s="1"/>
  <c r="O66" i="53"/>
  <c r="K66" i="53"/>
  <c r="L66" i="53" s="1"/>
  <c r="J66" i="53"/>
  <c r="AF63" i="53"/>
  <c r="R63" i="53"/>
  <c r="O63" i="53"/>
  <c r="K63" i="53"/>
  <c r="L63" i="53" s="1"/>
  <c r="P63" i="53" s="1"/>
  <c r="J63" i="53"/>
  <c r="R60" i="53"/>
  <c r="O60" i="53"/>
  <c r="K60" i="53"/>
  <c r="L60" i="53" s="1"/>
  <c r="P60" i="53" s="1"/>
  <c r="J60" i="53"/>
  <c r="AF59" i="53"/>
  <c r="R59" i="53"/>
  <c r="O59" i="53"/>
  <c r="K59" i="53"/>
  <c r="L59" i="53" s="1"/>
  <c r="P59" i="53" s="1"/>
  <c r="J59" i="53"/>
  <c r="V56" i="53"/>
  <c r="U56" i="53"/>
  <c r="T56" i="53"/>
  <c r="O56" i="53"/>
  <c r="K56" i="53"/>
  <c r="L56" i="53" s="1"/>
  <c r="P56" i="53" s="1"/>
  <c r="J56" i="53"/>
  <c r="V55" i="53"/>
  <c r="U55" i="53"/>
  <c r="T55" i="53"/>
  <c r="O55" i="53"/>
  <c r="K55" i="53"/>
  <c r="L55" i="53" s="1"/>
  <c r="J55" i="53"/>
  <c r="AF52" i="53"/>
  <c r="R52" i="53"/>
  <c r="O52" i="53"/>
  <c r="K52" i="53"/>
  <c r="L52" i="53" s="1"/>
  <c r="J52" i="53"/>
  <c r="AF49" i="53"/>
  <c r="R49" i="53"/>
  <c r="O49" i="53"/>
  <c r="K49" i="53"/>
  <c r="L49" i="53" s="1"/>
  <c r="P49" i="53" s="1"/>
  <c r="J49" i="53"/>
  <c r="V46" i="53"/>
  <c r="U46" i="53"/>
  <c r="T46" i="53"/>
  <c r="O46" i="53"/>
  <c r="K46" i="53"/>
  <c r="L46" i="53" s="1"/>
  <c r="J46" i="53"/>
  <c r="V45" i="53"/>
  <c r="U45" i="53"/>
  <c r="AF45" i="53" s="1"/>
  <c r="T45" i="53"/>
  <c r="O45" i="53"/>
  <c r="K45" i="53"/>
  <c r="L45" i="53" s="1"/>
  <c r="P45" i="53" s="1"/>
  <c r="J45" i="53"/>
  <c r="O44" i="53"/>
  <c r="K44" i="53"/>
  <c r="L44" i="53" s="1"/>
  <c r="P44" i="53" s="1"/>
  <c r="J44" i="53"/>
  <c r="V41" i="53"/>
  <c r="U41" i="53"/>
  <c r="T41" i="53"/>
  <c r="AF41" i="53" s="1"/>
  <c r="O41" i="53"/>
  <c r="L41" i="53"/>
  <c r="K41" i="53"/>
  <c r="J41" i="53"/>
  <c r="V40" i="53"/>
  <c r="U40" i="53"/>
  <c r="T40" i="53"/>
  <c r="O40" i="53"/>
  <c r="K40" i="53"/>
  <c r="L40" i="53" s="1"/>
  <c r="J40" i="53"/>
  <c r="V37" i="53"/>
  <c r="U37" i="53"/>
  <c r="T37" i="53"/>
  <c r="AF37" i="53" s="1"/>
  <c r="O37" i="53"/>
  <c r="K37" i="53"/>
  <c r="L37" i="53" s="1"/>
  <c r="P37" i="53" s="1"/>
  <c r="J37" i="53"/>
  <c r="V36" i="53"/>
  <c r="U36" i="53"/>
  <c r="T36" i="53"/>
  <c r="O36" i="53"/>
  <c r="K36" i="53"/>
  <c r="L36" i="53" s="1"/>
  <c r="J36" i="53"/>
  <c r="V33" i="53"/>
  <c r="U33" i="53"/>
  <c r="T33" i="53"/>
  <c r="O33" i="53"/>
  <c r="L33" i="53"/>
  <c r="K33" i="53"/>
  <c r="J33" i="53"/>
  <c r="V32" i="53"/>
  <c r="U32" i="53"/>
  <c r="T32" i="53"/>
  <c r="O32" i="53"/>
  <c r="K32" i="53"/>
  <c r="L32" i="53" s="1"/>
  <c r="J32" i="53"/>
  <c r="AF31" i="53"/>
  <c r="R31" i="53"/>
  <c r="T31" i="53" s="1"/>
  <c r="O31" i="53"/>
  <c r="K31" i="53"/>
  <c r="L31" i="53" s="1"/>
  <c r="J31" i="53"/>
  <c r="AF30" i="53"/>
  <c r="R30" i="53"/>
  <c r="O30" i="53"/>
  <c r="L30" i="53"/>
  <c r="P30" i="53" s="1"/>
  <c r="K30" i="53"/>
  <c r="J30" i="53"/>
  <c r="AF27" i="53"/>
  <c r="T27" i="53"/>
  <c r="R27" i="53"/>
  <c r="O27" i="53"/>
  <c r="K27" i="53"/>
  <c r="L27" i="53" s="1"/>
  <c r="P27" i="53" s="1"/>
  <c r="J27" i="53"/>
  <c r="V26" i="53"/>
  <c r="U26" i="53"/>
  <c r="T26" i="53"/>
  <c r="AF26" i="53" s="1"/>
  <c r="O26" i="53"/>
  <c r="K26" i="53"/>
  <c r="L26" i="53" s="1"/>
  <c r="J26" i="53"/>
  <c r="V23" i="53"/>
  <c r="U23" i="53"/>
  <c r="T23" i="53"/>
  <c r="O23" i="53"/>
  <c r="K23" i="53"/>
  <c r="L23" i="53" s="1"/>
  <c r="J23" i="53"/>
  <c r="V22" i="53"/>
  <c r="U22" i="53"/>
  <c r="T22" i="53"/>
  <c r="O22" i="53"/>
  <c r="K22" i="53"/>
  <c r="L22" i="53" s="1"/>
  <c r="P22" i="53" s="1"/>
  <c r="J22" i="53"/>
  <c r="AF21" i="53"/>
  <c r="R21" i="53"/>
  <c r="O21" i="53"/>
  <c r="L21" i="53"/>
  <c r="P21" i="53" s="1"/>
  <c r="K21" i="53"/>
  <c r="J21" i="53"/>
  <c r="AF20" i="53"/>
  <c r="R20" i="53"/>
  <c r="AG20" i="53" s="1"/>
  <c r="O20" i="53"/>
  <c r="K20" i="53"/>
  <c r="L20" i="53" s="1"/>
  <c r="P20" i="53" s="1"/>
  <c r="J20" i="53"/>
  <c r="T19" i="53"/>
  <c r="AF19" i="53" s="1"/>
  <c r="R19" i="53"/>
  <c r="O19" i="53"/>
  <c r="K19" i="53"/>
  <c r="L19" i="53" s="1"/>
  <c r="J19" i="53"/>
  <c r="V18" i="53"/>
  <c r="U18" i="53"/>
  <c r="T18" i="53"/>
  <c r="O18" i="53"/>
  <c r="K18" i="53"/>
  <c r="L18" i="53" s="1"/>
  <c r="J18" i="53"/>
  <c r="V17" i="53"/>
  <c r="U17" i="53"/>
  <c r="T17" i="53"/>
  <c r="AF17" i="53" s="1"/>
  <c r="O17" i="53"/>
  <c r="K17" i="53"/>
  <c r="L17" i="53" s="1"/>
  <c r="J17" i="53"/>
  <c r="V16" i="53"/>
  <c r="U16" i="53"/>
  <c r="T16" i="53"/>
  <c r="AF16" i="53" s="1"/>
  <c r="O16" i="53"/>
  <c r="K16" i="53"/>
  <c r="L16" i="53" s="1"/>
  <c r="P16" i="53" s="1"/>
  <c r="J16" i="53"/>
  <c r="AF18" i="53" l="1"/>
  <c r="P19" i="53"/>
  <c r="P31" i="53"/>
  <c r="AG21" i="53"/>
  <c r="AH21" i="53" s="1"/>
  <c r="AF33" i="53"/>
  <c r="AG33" i="53" s="1"/>
  <c r="AH33" i="53" s="1"/>
  <c r="AF36" i="53"/>
  <c r="P52" i="53"/>
  <c r="AG59" i="53"/>
  <c r="AH59" i="53" s="1"/>
  <c r="T21" i="53"/>
  <c r="P33" i="53"/>
  <c r="P41" i="53"/>
  <c r="AG49" i="53"/>
  <c r="AF55" i="53"/>
  <c r="AG55" i="53" s="1"/>
  <c r="AG63" i="53"/>
  <c r="AH63" i="53" s="1"/>
  <c r="AG17" i="53"/>
  <c r="AH17" i="53" s="1"/>
  <c r="P17" i="53"/>
  <c r="P55" i="53"/>
  <c r="AF23" i="53"/>
  <c r="AG23" i="53" s="1"/>
  <c r="AG30" i="53"/>
  <c r="AF32" i="53"/>
  <c r="AG32" i="53" s="1"/>
  <c r="AH32" i="53" s="1"/>
  <c r="AF46" i="53"/>
  <c r="T49" i="53"/>
  <c r="AF56" i="53"/>
  <c r="AG56" i="53" s="1"/>
  <c r="AH56" i="53" s="1"/>
  <c r="T59" i="53"/>
  <c r="AG41" i="53"/>
  <c r="AH41" i="53" s="1"/>
  <c r="AG45" i="53"/>
  <c r="AH45" i="53" s="1"/>
  <c r="T63" i="53"/>
  <c r="AF22" i="53"/>
  <c r="AG22" i="53" s="1"/>
  <c r="AH22" i="53" s="1"/>
  <c r="AG27" i="53"/>
  <c r="T30" i="53"/>
  <c r="AF40" i="53"/>
  <c r="AG52" i="53"/>
  <c r="AH71" i="57"/>
  <c r="P36" i="53"/>
  <c r="AG36" i="53"/>
  <c r="AH36" i="53" s="1"/>
  <c r="P18" i="53"/>
  <c r="AG18" i="53"/>
  <c r="AH18" i="53" s="1"/>
  <c r="P26" i="53"/>
  <c r="AG26" i="53"/>
  <c r="AG19" i="53"/>
  <c r="AG40" i="53"/>
  <c r="AH40" i="53" s="1"/>
  <c r="P46" i="53"/>
  <c r="AG46" i="53"/>
  <c r="AH46" i="53" s="1"/>
  <c r="P66" i="53"/>
  <c r="AG66" i="53"/>
  <c r="AG31" i="53"/>
  <c r="AH31" i="53" s="1"/>
  <c r="AG37" i="53"/>
  <c r="AH37" i="53" s="1"/>
  <c r="AG16" i="53"/>
  <c r="T20" i="53"/>
  <c r="P23" i="53"/>
  <c r="P32" i="53"/>
  <c r="P40" i="53"/>
  <c r="T52" i="53"/>
  <c r="T60" i="53"/>
  <c r="AF60" i="53" s="1"/>
  <c r="AG60" i="53" s="1"/>
  <c r="AH60" i="53" s="1"/>
  <c r="AH16" i="53" l="1"/>
  <c r="AG67" i="53"/>
  <c r="AF67" i="53"/>
  <c r="AH32" i="21" l="1"/>
  <c r="AH54" i="21"/>
  <c r="AH35" i="21"/>
  <c r="AH31" i="21"/>
  <c r="AH19" i="21"/>
  <c r="AH20" i="21"/>
  <c r="AH18" i="21"/>
  <c r="Q54" i="21"/>
  <c r="Q35" i="21"/>
  <c r="Q32" i="21"/>
  <c r="Q31" i="21"/>
  <c r="Q19" i="21"/>
  <c r="Q20" i="21"/>
  <c r="Q18" i="21"/>
  <c r="X55" i="21" l="1"/>
  <c r="W55" i="21"/>
  <c r="V55" i="21"/>
  <c r="U55" i="21"/>
  <c r="T55" i="21"/>
  <c r="S55" i="21"/>
  <c r="N55" i="21"/>
  <c r="L55" i="21"/>
  <c r="H55" i="21"/>
  <c r="I55" i="21" s="1"/>
  <c r="X28" i="21"/>
  <c r="W28" i="21"/>
  <c r="V28" i="21"/>
  <c r="U28" i="21"/>
  <c r="T28" i="21"/>
  <c r="S28" i="21"/>
  <c r="N28" i="21"/>
  <c r="L28" i="21"/>
  <c r="H28" i="21"/>
  <c r="I28" i="21" s="1"/>
  <c r="X116" i="21"/>
  <c r="W116" i="21"/>
  <c r="V116" i="21"/>
  <c r="U116" i="21"/>
  <c r="T116" i="21"/>
  <c r="S116" i="21"/>
  <c r="N116" i="21"/>
  <c r="L116" i="21"/>
  <c r="H116" i="21"/>
  <c r="I116" i="21" s="1"/>
  <c r="X112" i="21"/>
  <c r="W112" i="21"/>
  <c r="V112" i="21"/>
  <c r="U112" i="21"/>
  <c r="T112" i="21"/>
  <c r="S112" i="21"/>
  <c r="AE112" i="21" s="1"/>
  <c r="N112" i="21"/>
  <c r="L112" i="21"/>
  <c r="H112" i="21"/>
  <c r="I112" i="21" s="1"/>
  <c r="X111" i="21"/>
  <c r="W111" i="21"/>
  <c r="V111" i="21"/>
  <c r="U111" i="21"/>
  <c r="T111" i="21"/>
  <c r="S111" i="21"/>
  <c r="N111" i="21"/>
  <c r="L111" i="21"/>
  <c r="H111" i="21"/>
  <c r="I111" i="21" s="1"/>
  <c r="X110" i="21"/>
  <c r="W110" i="21"/>
  <c r="V110" i="21"/>
  <c r="U110" i="21"/>
  <c r="T110" i="21"/>
  <c r="S110" i="21"/>
  <c r="AE110" i="21" s="1"/>
  <c r="N110" i="21"/>
  <c r="L110" i="21"/>
  <c r="H110" i="21"/>
  <c r="I110" i="21" s="1"/>
  <c r="X109" i="21"/>
  <c r="W109" i="21"/>
  <c r="V109" i="21"/>
  <c r="U109" i="21"/>
  <c r="T109" i="21"/>
  <c r="S109" i="21"/>
  <c r="N109" i="21"/>
  <c r="L109" i="21"/>
  <c r="H109" i="21"/>
  <c r="I109" i="21" s="1"/>
  <c r="X108" i="21"/>
  <c r="W108" i="21"/>
  <c r="V108" i="21"/>
  <c r="U108" i="21"/>
  <c r="T108" i="21"/>
  <c r="S108" i="21"/>
  <c r="N108" i="21"/>
  <c r="L108" i="21"/>
  <c r="H108" i="21"/>
  <c r="I108" i="21" s="1"/>
  <c r="X107" i="21"/>
  <c r="W107" i="21"/>
  <c r="V107" i="21"/>
  <c r="U107" i="21"/>
  <c r="T107" i="21"/>
  <c r="S107" i="21"/>
  <c r="N107" i="21"/>
  <c r="L107" i="21"/>
  <c r="H107" i="21"/>
  <c r="I107" i="21" s="1"/>
  <c r="X106" i="21"/>
  <c r="W106" i="21"/>
  <c r="V106" i="21"/>
  <c r="U106" i="21"/>
  <c r="T106" i="21"/>
  <c r="S106" i="21"/>
  <c r="AE106" i="21" s="1"/>
  <c r="N106" i="21"/>
  <c r="L106" i="21"/>
  <c r="H106" i="21"/>
  <c r="I106" i="21" s="1"/>
  <c r="X105" i="21"/>
  <c r="W105" i="21"/>
  <c r="V105" i="21"/>
  <c r="U105" i="21"/>
  <c r="T105" i="21"/>
  <c r="S105" i="21"/>
  <c r="N105" i="21"/>
  <c r="L105" i="21"/>
  <c r="H105" i="21"/>
  <c r="I105" i="21" s="1"/>
  <c r="X104" i="21"/>
  <c r="W104" i="21"/>
  <c r="V104" i="21"/>
  <c r="U104" i="21"/>
  <c r="T104" i="21"/>
  <c r="S104" i="21"/>
  <c r="N104" i="21"/>
  <c r="L104" i="21"/>
  <c r="H104" i="21"/>
  <c r="I104" i="21" s="1"/>
  <c r="X103" i="21"/>
  <c r="W103" i="21"/>
  <c r="V103" i="21"/>
  <c r="U103" i="21"/>
  <c r="T103" i="21"/>
  <c r="S103" i="21"/>
  <c r="N103" i="21"/>
  <c r="L103" i="21"/>
  <c r="H103" i="21"/>
  <c r="I103" i="21" s="1"/>
  <c r="H102" i="21"/>
  <c r="I102" i="21"/>
  <c r="M102" i="21" s="1"/>
  <c r="L102" i="21"/>
  <c r="N102" i="21"/>
  <c r="S102" i="21"/>
  <c r="T102" i="21"/>
  <c r="U102" i="21"/>
  <c r="V102" i="21"/>
  <c r="W102" i="21"/>
  <c r="X102" i="21"/>
  <c r="X99" i="21"/>
  <c r="W99" i="21"/>
  <c r="V99" i="21"/>
  <c r="U99" i="21"/>
  <c r="T99" i="21"/>
  <c r="S99" i="21"/>
  <c r="N99" i="21"/>
  <c r="L99" i="21"/>
  <c r="H99" i="21"/>
  <c r="I99" i="21" s="1"/>
  <c r="X96" i="21"/>
  <c r="W96" i="21"/>
  <c r="V96" i="21"/>
  <c r="U96" i="21"/>
  <c r="T96" i="21"/>
  <c r="S96" i="21"/>
  <c r="N96" i="21"/>
  <c r="L96" i="21"/>
  <c r="H96" i="21"/>
  <c r="I96" i="21" s="1"/>
  <c r="X95" i="21"/>
  <c r="W95" i="21"/>
  <c r="V95" i="21"/>
  <c r="U95" i="21"/>
  <c r="T95" i="21"/>
  <c r="S95" i="21"/>
  <c r="N95" i="21"/>
  <c r="L95" i="21"/>
  <c r="H95" i="21"/>
  <c r="I95" i="21" s="1"/>
  <c r="X92" i="21"/>
  <c r="W92" i="21"/>
  <c r="V92" i="21"/>
  <c r="U92" i="21"/>
  <c r="T92" i="21"/>
  <c r="S92" i="21"/>
  <c r="N92" i="21"/>
  <c r="L92" i="21"/>
  <c r="H92" i="21"/>
  <c r="I92" i="21" s="1"/>
  <c r="X91" i="21"/>
  <c r="W91" i="21"/>
  <c r="V91" i="21"/>
  <c r="U91" i="21"/>
  <c r="T91" i="21"/>
  <c r="S91" i="21"/>
  <c r="N91" i="21"/>
  <c r="L91" i="21"/>
  <c r="H91" i="21"/>
  <c r="I91" i="21" s="1"/>
  <c r="X90" i="21"/>
  <c r="W90" i="21"/>
  <c r="V90" i="21"/>
  <c r="U90" i="21"/>
  <c r="T90" i="21"/>
  <c r="S90" i="21"/>
  <c r="N90" i="21"/>
  <c r="L90" i="21"/>
  <c r="H90" i="21"/>
  <c r="I90" i="21" s="1"/>
  <c r="X89" i="21"/>
  <c r="W89" i="21"/>
  <c r="V89" i="21"/>
  <c r="U89" i="21"/>
  <c r="T89" i="21"/>
  <c r="S89" i="21"/>
  <c r="N89" i="21"/>
  <c r="L89" i="21"/>
  <c r="H89" i="21"/>
  <c r="I89" i="21" s="1"/>
  <c r="X88" i="21"/>
  <c r="W88" i="21"/>
  <c r="V88" i="21"/>
  <c r="U88" i="21"/>
  <c r="T88" i="21"/>
  <c r="S88" i="21"/>
  <c r="AE88" i="21" s="1"/>
  <c r="N88" i="21"/>
  <c r="L88" i="21"/>
  <c r="H88" i="21"/>
  <c r="I88" i="21" s="1"/>
  <c r="X87" i="21"/>
  <c r="W87" i="21"/>
  <c r="V87" i="21"/>
  <c r="U87" i="21"/>
  <c r="T87" i="21"/>
  <c r="S87" i="21"/>
  <c r="N87" i="21"/>
  <c r="L87" i="21"/>
  <c r="H87" i="21"/>
  <c r="I87" i="21" s="1"/>
  <c r="X86" i="21"/>
  <c r="W86" i="21"/>
  <c r="V86" i="21"/>
  <c r="U86" i="21"/>
  <c r="T86" i="21"/>
  <c r="S86" i="21"/>
  <c r="N86" i="21"/>
  <c r="L86" i="21"/>
  <c r="H86" i="21"/>
  <c r="I86" i="21" s="1"/>
  <c r="X85" i="21"/>
  <c r="W85" i="21"/>
  <c r="V85" i="21"/>
  <c r="U85" i="21"/>
  <c r="T85" i="21"/>
  <c r="S85" i="21"/>
  <c r="N85" i="21"/>
  <c r="L85" i="21"/>
  <c r="H85" i="21"/>
  <c r="I85" i="21" s="1"/>
  <c r="X84" i="21"/>
  <c r="W84" i="21"/>
  <c r="V84" i="21"/>
  <c r="U84" i="21"/>
  <c r="T84" i="21"/>
  <c r="S84" i="21"/>
  <c r="AE84" i="21" s="1"/>
  <c r="N84" i="21"/>
  <c r="L84" i="21"/>
  <c r="H84" i="21"/>
  <c r="I84" i="21" s="1"/>
  <c r="X83" i="21"/>
  <c r="W83" i="21"/>
  <c r="V83" i="21"/>
  <c r="U83" i="21"/>
  <c r="T83" i="21"/>
  <c r="S83" i="21"/>
  <c r="N83" i="21"/>
  <c r="L83" i="21"/>
  <c r="H83" i="21"/>
  <c r="I83" i="21" s="1"/>
  <c r="X80" i="21"/>
  <c r="W80" i="21"/>
  <c r="V80" i="21"/>
  <c r="U80" i="21"/>
  <c r="T80" i="21"/>
  <c r="S80" i="21"/>
  <c r="N80" i="21"/>
  <c r="L80" i="21"/>
  <c r="H80" i="21"/>
  <c r="I80" i="21" s="1"/>
  <c r="X77" i="21"/>
  <c r="W77" i="21"/>
  <c r="V77" i="21"/>
  <c r="U77" i="21"/>
  <c r="T77" i="21"/>
  <c r="S77" i="21"/>
  <c r="N77" i="21"/>
  <c r="L77" i="21"/>
  <c r="H77" i="21"/>
  <c r="I77" i="21" s="1"/>
  <c r="AE76" i="21"/>
  <c r="AF76" i="21" s="1"/>
  <c r="X74" i="21"/>
  <c r="W74" i="21"/>
  <c r="V74" i="21"/>
  <c r="U74" i="21"/>
  <c r="T74" i="21"/>
  <c r="S74" i="21"/>
  <c r="N74" i="21"/>
  <c r="L74" i="21"/>
  <c r="H74" i="21"/>
  <c r="I74" i="21" s="1"/>
  <c r="X71" i="21"/>
  <c r="W71" i="21"/>
  <c r="V71" i="21"/>
  <c r="U71" i="21"/>
  <c r="T71" i="21"/>
  <c r="S71" i="21"/>
  <c r="N71" i="21"/>
  <c r="L71" i="21"/>
  <c r="H71" i="21"/>
  <c r="I71" i="21" s="1"/>
  <c r="X70" i="21"/>
  <c r="W70" i="21"/>
  <c r="V70" i="21"/>
  <c r="U70" i="21"/>
  <c r="T70" i="21"/>
  <c r="S70" i="21"/>
  <c r="N70" i="21"/>
  <c r="L70" i="21"/>
  <c r="H70" i="21"/>
  <c r="I70" i="21" s="1"/>
  <c r="X69" i="21"/>
  <c r="W69" i="21"/>
  <c r="V69" i="21"/>
  <c r="U69" i="21"/>
  <c r="T69" i="21"/>
  <c r="S69" i="21"/>
  <c r="N69" i="21"/>
  <c r="L69" i="21"/>
  <c r="H69" i="21"/>
  <c r="I69" i="21" s="1"/>
  <c r="X25" i="21"/>
  <c r="W25" i="21"/>
  <c r="V25" i="21"/>
  <c r="U25" i="21"/>
  <c r="T25" i="21"/>
  <c r="S25" i="21"/>
  <c r="N25" i="21"/>
  <c r="L25" i="21"/>
  <c r="H25" i="21"/>
  <c r="I25" i="21" s="1"/>
  <c r="X24" i="21"/>
  <c r="W24" i="21"/>
  <c r="V24" i="21"/>
  <c r="U24" i="21"/>
  <c r="T24" i="21"/>
  <c r="S24" i="21"/>
  <c r="N24" i="21"/>
  <c r="L24" i="21"/>
  <c r="H24" i="21"/>
  <c r="I24" i="21" s="1"/>
  <c r="X23" i="21"/>
  <c r="W23" i="21"/>
  <c r="V23" i="21"/>
  <c r="U23" i="21"/>
  <c r="T23" i="21"/>
  <c r="S23" i="21"/>
  <c r="N23" i="21"/>
  <c r="L23" i="21"/>
  <c r="H23" i="21"/>
  <c r="I23" i="21" s="1"/>
  <c r="X59" i="21"/>
  <c r="W59" i="21"/>
  <c r="V59" i="21"/>
  <c r="U59" i="21"/>
  <c r="T59" i="21"/>
  <c r="S59" i="21"/>
  <c r="AE59" i="21" s="1"/>
  <c r="N59" i="21"/>
  <c r="L59" i="21"/>
  <c r="H59" i="21"/>
  <c r="I59" i="21" s="1"/>
  <c r="X58" i="21"/>
  <c r="W58" i="21"/>
  <c r="V58" i="21"/>
  <c r="U58" i="21"/>
  <c r="T58" i="21"/>
  <c r="S58" i="21"/>
  <c r="N58" i="21"/>
  <c r="L58" i="21"/>
  <c r="H58" i="21"/>
  <c r="I58" i="21" s="1"/>
  <c r="X54" i="21"/>
  <c r="W54" i="21"/>
  <c r="V54" i="21"/>
  <c r="U54" i="21"/>
  <c r="T54" i="21"/>
  <c r="S54" i="21"/>
  <c r="N54" i="21"/>
  <c r="L54" i="21"/>
  <c r="H54" i="21"/>
  <c r="I54" i="21" s="1"/>
  <c r="X17" i="21"/>
  <c r="W17" i="21"/>
  <c r="V17" i="21"/>
  <c r="U17" i="21"/>
  <c r="T17" i="21"/>
  <c r="S17" i="21"/>
  <c r="N17" i="21"/>
  <c r="L17" i="21"/>
  <c r="H17" i="21"/>
  <c r="I17" i="21" s="1"/>
  <c r="X51" i="21"/>
  <c r="W51" i="21"/>
  <c r="V51" i="21"/>
  <c r="U51" i="21"/>
  <c r="T51" i="21"/>
  <c r="S51" i="21"/>
  <c r="AE51" i="21" s="1"/>
  <c r="N51" i="21"/>
  <c r="L51" i="21"/>
  <c r="H51" i="21"/>
  <c r="I51" i="21" s="1"/>
  <c r="X48" i="21"/>
  <c r="W48" i="21"/>
  <c r="V48" i="21"/>
  <c r="U48" i="21"/>
  <c r="T48" i="21"/>
  <c r="S48" i="21"/>
  <c r="N48" i="21"/>
  <c r="L48" i="21"/>
  <c r="H48" i="21"/>
  <c r="I48" i="21" s="1"/>
  <c r="X35" i="21"/>
  <c r="W35" i="21"/>
  <c r="V35" i="21"/>
  <c r="U35" i="21"/>
  <c r="T35" i="21"/>
  <c r="S35" i="21"/>
  <c r="N35" i="21"/>
  <c r="L35" i="21"/>
  <c r="H35" i="21"/>
  <c r="I35" i="21" s="1"/>
  <c r="X32" i="21"/>
  <c r="W32" i="21"/>
  <c r="V32" i="21"/>
  <c r="U32" i="21"/>
  <c r="T32" i="21"/>
  <c r="S32" i="21"/>
  <c r="N32" i="21"/>
  <c r="L32" i="21"/>
  <c r="H32" i="21"/>
  <c r="I32" i="21" s="1"/>
  <c r="X31" i="21"/>
  <c r="W31" i="21"/>
  <c r="V31" i="21"/>
  <c r="U31" i="21"/>
  <c r="T31" i="21"/>
  <c r="S31" i="21"/>
  <c r="AE31" i="21" s="1"/>
  <c r="AF31" i="21" s="1"/>
  <c r="N31" i="21"/>
  <c r="L31" i="21"/>
  <c r="H31" i="21"/>
  <c r="I31" i="21" s="1"/>
  <c r="X47" i="21"/>
  <c r="W47" i="21"/>
  <c r="V47" i="21"/>
  <c r="U47" i="21"/>
  <c r="T47" i="21"/>
  <c r="S47" i="21"/>
  <c r="N47" i="21"/>
  <c r="L47" i="21"/>
  <c r="H47" i="21"/>
  <c r="I47" i="21" s="1"/>
  <c r="X44" i="21"/>
  <c r="W44" i="21"/>
  <c r="V44" i="21"/>
  <c r="U44" i="21"/>
  <c r="T44" i="21"/>
  <c r="S44" i="21"/>
  <c r="N44" i="21"/>
  <c r="L44" i="21"/>
  <c r="H44" i="21"/>
  <c r="I44" i="21" s="1"/>
  <c r="L41" i="21"/>
  <c r="N41" i="21"/>
  <c r="S41" i="21"/>
  <c r="T41" i="21"/>
  <c r="U41" i="21"/>
  <c r="V41" i="21"/>
  <c r="W41" i="21"/>
  <c r="X41" i="21"/>
  <c r="H41" i="21"/>
  <c r="I41" i="21" s="1"/>
  <c r="X38" i="21"/>
  <c r="W38" i="21"/>
  <c r="V38" i="21"/>
  <c r="U38" i="21"/>
  <c r="T38" i="21"/>
  <c r="S38" i="21"/>
  <c r="N38" i="21"/>
  <c r="L38" i="21"/>
  <c r="H38" i="21"/>
  <c r="I38" i="21" s="1"/>
  <c r="X20" i="21"/>
  <c r="W20" i="21"/>
  <c r="V20" i="21"/>
  <c r="U20" i="21"/>
  <c r="T20" i="21"/>
  <c r="S20" i="21"/>
  <c r="N20" i="21"/>
  <c r="L20" i="21"/>
  <c r="H20" i="21"/>
  <c r="I20" i="21" s="1"/>
  <c r="X19" i="21"/>
  <c r="W19" i="21"/>
  <c r="V19" i="21"/>
  <c r="U19" i="21"/>
  <c r="T19" i="21"/>
  <c r="S19" i="21"/>
  <c r="N19" i="21"/>
  <c r="L19" i="21"/>
  <c r="H19" i="21"/>
  <c r="I19" i="21" s="1"/>
  <c r="X18" i="21"/>
  <c r="W18" i="21"/>
  <c r="V18" i="21"/>
  <c r="U18" i="21"/>
  <c r="T18" i="21"/>
  <c r="S18" i="21"/>
  <c r="N18" i="21"/>
  <c r="L18" i="21"/>
  <c r="H18" i="21"/>
  <c r="I18" i="21" s="1"/>
  <c r="X16" i="21"/>
  <c r="W16" i="21"/>
  <c r="V16" i="21"/>
  <c r="U16" i="21"/>
  <c r="T16" i="21"/>
  <c r="S16" i="21"/>
  <c r="N16" i="21"/>
  <c r="L16" i="21"/>
  <c r="H16" i="21"/>
  <c r="I16" i="21" s="1"/>
  <c r="X15" i="21"/>
  <c r="W15" i="21"/>
  <c r="V15" i="21"/>
  <c r="U15" i="21"/>
  <c r="T15" i="21"/>
  <c r="S15" i="21"/>
  <c r="N15" i="21"/>
  <c r="L15" i="21"/>
  <c r="H15" i="21"/>
  <c r="I15" i="21" s="1"/>
  <c r="X14" i="21"/>
  <c r="W14" i="21"/>
  <c r="V14" i="21"/>
  <c r="U14" i="21"/>
  <c r="T14" i="21"/>
  <c r="S14" i="21"/>
  <c r="N14" i="21"/>
  <c r="L14" i="21"/>
  <c r="H14" i="21"/>
  <c r="I14" i="21" s="1"/>
  <c r="X13" i="21"/>
  <c r="W13" i="21"/>
  <c r="V13" i="21"/>
  <c r="U13" i="21"/>
  <c r="T13" i="21"/>
  <c r="S13" i="21"/>
  <c r="N13" i="21"/>
  <c r="L13" i="21"/>
  <c r="H13" i="21"/>
  <c r="I13" i="21" s="1"/>
  <c r="AE18" i="21" l="1"/>
  <c r="AF18" i="21" s="1"/>
  <c r="O102" i="21"/>
  <c r="AE105" i="21"/>
  <c r="AE102" i="21"/>
  <c r="AF102" i="21" s="1"/>
  <c r="AE41" i="21"/>
  <c r="AF41" i="21" s="1"/>
  <c r="AE92" i="21"/>
  <c r="AE13" i="21"/>
  <c r="AE15" i="21"/>
  <c r="AE20" i="21"/>
  <c r="AF20" i="21" s="1"/>
  <c r="AE44" i="21"/>
  <c r="AE35" i="21"/>
  <c r="AF35" i="21" s="1"/>
  <c r="AE54" i="21"/>
  <c r="AF54" i="21" s="1"/>
  <c r="AE24" i="21"/>
  <c r="AF24" i="21" s="1"/>
  <c r="AE86" i="21"/>
  <c r="AE90" i="21"/>
  <c r="AE103" i="21"/>
  <c r="AE107" i="21"/>
  <c r="AF107" i="21" s="1"/>
  <c r="AE111" i="21"/>
  <c r="AE55" i="21"/>
  <c r="AE16" i="21"/>
  <c r="AE38" i="21"/>
  <c r="AF38" i="21" s="1"/>
  <c r="AE47" i="21"/>
  <c r="AE48" i="21"/>
  <c r="AE58" i="21"/>
  <c r="AE25" i="21"/>
  <c r="AE74" i="21"/>
  <c r="AE83" i="21"/>
  <c r="AE87" i="21"/>
  <c r="AE91" i="21"/>
  <c r="AE104" i="21"/>
  <c r="AE108" i="21"/>
  <c r="AE109" i="21"/>
  <c r="AE14" i="21"/>
  <c r="AE19" i="21"/>
  <c r="AF19" i="21" s="1"/>
  <c r="AE32" i="21"/>
  <c r="AF32" i="21" s="1"/>
  <c r="AE17" i="21"/>
  <c r="AE85" i="21"/>
  <c r="AF85" i="21" s="1"/>
  <c r="AE89" i="21"/>
  <c r="AE28" i="21"/>
  <c r="AF28" i="21" s="1"/>
  <c r="AF55" i="21"/>
  <c r="O55" i="21"/>
  <c r="M55" i="21"/>
  <c r="O28" i="21"/>
  <c r="M28" i="21"/>
  <c r="O116" i="21"/>
  <c r="M116" i="21"/>
  <c r="AF112" i="21"/>
  <c r="O112" i="21"/>
  <c r="M112" i="21"/>
  <c r="AF111" i="21"/>
  <c r="O111" i="21"/>
  <c r="M111" i="21"/>
  <c r="AF110" i="21"/>
  <c r="O110" i="21"/>
  <c r="M110" i="21"/>
  <c r="AF109" i="21"/>
  <c r="O109" i="21"/>
  <c r="M109" i="21"/>
  <c r="AF108" i="21"/>
  <c r="O108" i="21"/>
  <c r="M108" i="21"/>
  <c r="O107" i="21"/>
  <c r="M107" i="21"/>
  <c r="AF106" i="21"/>
  <c r="O106" i="21"/>
  <c r="M106" i="21"/>
  <c r="AF105" i="21"/>
  <c r="O105" i="21"/>
  <c r="M105" i="21"/>
  <c r="AF104" i="21"/>
  <c r="O104" i="21"/>
  <c r="M104" i="21"/>
  <c r="AF103" i="21"/>
  <c r="O103" i="21"/>
  <c r="M103" i="21"/>
  <c r="M41" i="21"/>
  <c r="O41" i="21"/>
  <c r="O99" i="21"/>
  <c r="M99" i="21"/>
  <c r="O96" i="21"/>
  <c r="M96" i="21"/>
  <c r="O95" i="21"/>
  <c r="M95" i="21"/>
  <c r="AF92" i="21"/>
  <c r="O92" i="21"/>
  <c r="M92" i="21"/>
  <c r="AF91" i="21"/>
  <c r="O91" i="21"/>
  <c r="M91" i="21"/>
  <c r="AF90" i="21"/>
  <c r="O90" i="21"/>
  <c r="M90" i="21"/>
  <c r="AF89" i="21"/>
  <c r="O89" i="21"/>
  <c r="M89" i="21"/>
  <c r="AF88" i="21"/>
  <c r="O88" i="21"/>
  <c r="M88" i="21"/>
  <c r="AF87" i="21"/>
  <c r="O87" i="21"/>
  <c r="M87" i="21"/>
  <c r="AF86" i="21"/>
  <c r="O86" i="21"/>
  <c r="M86" i="21"/>
  <c r="O85" i="21"/>
  <c r="M85" i="21"/>
  <c r="AF84" i="21"/>
  <c r="O84" i="21"/>
  <c r="M84" i="21"/>
  <c r="AF83" i="21"/>
  <c r="O83" i="21"/>
  <c r="M83" i="21"/>
  <c r="O80" i="21"/>
  <c r="M80" i="21"/>
  <c r="O77" i="21"/>
  <c r="M77" i="21"/>
  <c r="AF74" i="21"/>
  <c r="O74" i="21"/>
  <c r="M74" i="21"/>
  <c r="O71" i="21"/>
  <c r="M71" i="21"/>
  <c r="O70" i="21"/>
  <c r="M70" i="21"/>
  <c r="O69" i="21"/>
  <c r="M69" i="21"/>
  <c r="AF25" i="21"/>
  <c r="O25" i="21"/>
  <c r="M25" i="21"/>
  <c r="O24" i="21"/>
  <c r="M24" i="21"/>
  <c r="O23" i="21"/>
  <c r="M23" i="21"/>
  <c r="AF59" i="21"/>
  <c r="O59" i="21"/>
  <c r="M59" i="21"/>
  <c r="AF58" i="21"/>
  <c r="O58" i="21"/>
  <c r="M58" i="21"/>
  <c r="O54" i="21"/>
  <c r="M54" i="21"/>
  <c r="AF17" i="21"/>
  <c r="O17" i="21"/>
  <c r="M17" i="21"/>
  <c r="AF51" i="21"/>
  <c r="O51" i="21"/>
  <c r="M51" i="21"/>
  <c r="AF48" i="21"/>
  <c r="O48" i="21"/>
  <c r="M48" i="21"/>
  <c r="O35" i="21"/>
  <c r="M35" i="21"/>
  <c r="O32" i="21"/>
  <c r="M32" i="21"/>
  <c r="O31" i="21"/>
  <c r="M31" i="21"/>
  <c r="AF47" i="21"/>
  <c r="O47" i="21"/>
  <c r="M47" i="21"/>
  <c r="AF44" i="21"/>
  <c r="O44" i="21"/>
  <c r="M44" i="21"/>
  <c r="O38" i="21"/>
  <c r="M38" i="21"/>
  <c r="O20" i="21"/>
  <c r="M20" i="21"/>
  <c r="O19" i="21"/>
  <c r="M19" i="21"/>
  <c r="O18" i="21"/>
  <c r="M18" i="21"/>
  <c r="AF16" i="21"/>
  <c r="O16" i="21"/>
  <c r="M16" i="21"/>
  <c r="AF15" i="21"/>
  <c r="O15" i="21"/>
  <c r="M15" i="21"/>
  <c r="AF14" i="21"/>
  <c r="O14" i="21"/>
  <c r="M14" i="21"/>
  <c r="AF13" i="21"/>
  <c r="O13" i="21"/>
  <c r="M13" i="21"/>
</calcChain>
</file>

<file path=xl/comments1.xml><?xml version="1.0" encoding="utf-8"?>
<comments xmlns="http://schemas.openxmlformats.org/spreadsheetml/2006/main">
  <authors>
    <author>SERVIDOR</author>
  </authors>
  <commentList>
    <comment ref="V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0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1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2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3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4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5.xml><?xml version="1.0" encoding="utf-8"?>
<comments xmlns="http://schemas.openxmlformats.org/spreadsheetml/2006/main">
  <authors>
    <author>SERVIDOR</author>
  </authors>
  <commentList>
    <comment ref="Y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6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7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8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19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0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1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2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3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4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5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6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7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8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29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0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1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2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3.xml><?xml version="1.0" encoding="utf-8"?>
<comments xmlns="http://schemas.openxmlformats.org/spreadsheetml/2006/main">
  <authors>
    <author>SERVIDOR</author>
  </authors>
  <commentList>
    <comment ref="Y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  <comment ref="AW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4.xml><?xml version="1.0" encoding="utf-8"?>
<comments xmlns="http://schemas.openxmlformats.org/spreadsheetml/2006/main">
  <authors>
    <author>SERVIDOR</author>
  </authors>
  <commentList>
    <comment ref="Z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35.xml><?xml version="1.0" encoding="utf-8"?>
<comments xmlns="http://schemas.openxmlformats.org/spreadsheetml/2006/main">
  <authors>
    <author>SERVIDOR</author>
  </authors>
  <commentList>
    <comment ref="Y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  <comment ref="AW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4.xml><?xml version="1.0" encoding="utf-8"?>
<comments xmlns="http://schemas.openxmlformats.org/spreadsheetml/2006/main">
  <authors>
    <author>SERVIDOR</author>
  </authors>
  <commentList>
    <comment ref="AA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5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6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7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8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comments9.xml><?xml version="1.0" encoding="utf-8"?>
<comments xmlns="http://schemas.openxmlformats.org/spreadsheetml/2006/main">
  <authors>
    <author>SERVIDOR</author>
  </authors>
  <commentList>
    <comment ref="X11" authorId="0">
      <text>
        <r>
          <rPr>
            <sz val="9"/>
            <color indexed="81"/>
            <rFont val="Tahoma"/>
            <family val="2"/>
          </rPr>
          <t xml:space="preserve">de
</t>
        </r>
      </text>
    </comment>
  </commentList>
</comments>
</file>

<file path=xl/sharedStrings.xml><?xml version="1.0" encoding="utf-8"?>
<sst xmlns="http://schemas.openxmlformats.org/spreadsheetml/2006/main" count="4545" uniqueCount="1129">
  <si>
    <t>DESCRIPCION DEL BIEN</t>
  </si>
  <si>
    <t>IMPORTE</t>
  </si>
  <si>
    <t>SALDO POR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</si>
  <si>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</si>
  <si>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</si>
  <si>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</si>
  <si>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</si>
  <si>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</si>
  <si>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</si>
  <si>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</si>
  <si>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</si>
  <si>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</si>
  <si>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</si>
  <si>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</si>
  <si>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</si>
  <si>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DEP'N. EJERC.</t>
  </si>
  <si>
    <t>I N P C</t>
  </si>
  <si>
    <t>FACTOR</t>
  </si>
  <si>
    <t>DEP. ANUAL</t>
  </si>
  <si>
    <t>ADQ.</t>
  </si>
  <si>
    <t>DEDUCIR</t>
  </si>
  <si>
    <t>1ra. MITAD</t>
  </si>
  <si>
    <t>MES  ADQ.</t>
  </si>
  <si>
    <t>DE  ACT.</t>
  </si>
  <si>
    <t>ACTUALIZ.</t>
  </si>
  <si>
    <t>DEP.  ACT.</t>
  </si>
  <si>
    <t>EQUIPO DE COMPUTO</t>
  </si>
  <si>
    <t>CAMARAS FOTOGRAFICAS</t>
  </si>
  <si>
    <t>TELEFONO, CELULAR</t>
  </si>
  <si>
    <t>MUNICIPIO DE PIHUAMO, JALISCO</t>
  </si>
  <si>
    <t>MESES DE USO AL 31-DIC-13</t>
  </si>
  <si>
    <t>TELEFONO NORTEL NETWORKS</t>
  </si>
  <si>
    <t>CONJUNTO GRECIA</t>
  </si>
  <si>
    <t>ESCRITORIO NEGRO/CEREZO</t>
  </si>
  <si>
    <t xml:space="preserve">MESA DE MADERA </t>
  </si>
  <si>
    <t>MESA METALICA</t>
  </si>
  <si>
    <t>SILLA SECRETARIAL GRIS/NEGRO</t>
  </si>
  <si>
    <t>ESCRITORIO DE MADERA</t>
  </si>
  <si>
    <t>ARCHIVERO 4 GAVETAS METALICO</t>
  </si>
  <si>
    <t xml:space="preserve">MAQUINA DE ESCRIBIR BLANCA OLYMPIA </t>
  </si>
  <si>
    <t>NO BREAK NEGRO CDP</t>
  </si>
  <si>
    <t>MONITOR NEGRO DELL</t>
  </si>
  <si>
    <t>CAMARA DIGITAL NEGRO FUJIMILM</t>
  </si>
  <si>
    <t>TELEFONO NEGRO NORTEL NETWORKS</t>
  </si>
  <si>
    <t xml:space="preserve">ARCHIVERO METÁLICO 4 GAVETAS </t>
  </si>
  <si>
    <t>ARCHIVERO METÁLICO 2 GAVETAS GRIS</t>
  </si>
  <si>
    <t>ANAQUEL METÁLICO 6 ESTANTES 2,60 X2,10X0,30 NEGRO</t>
  </si>
  <si>
    <t>ANAQUEL METÁLICO 3 ESTANTES Y 4 PATAS 0,90X0,65X0,30</t>
  </si>
  <si>
    <t>MESA METÁLICA DE 0,60X2,20X0,75</t>
  </si>
  <si>
    <t>SUMADORA GRIS ROYAL</t>
  </si>
  <si>
    <t>VENTILADOR GRIS/BLANCO CYCLONE</t>
  </si>
  <si>
    <t>ESCALERA ALUMINIO 3 NIVELES 0,66 M, DE ALT.</t>
  </si>
  <si>
    <t>2 SILLAS GIRATORIAS FORRADAS DE TELA NEGRA</t>
  </si>
  <si>
    <t xml:space="preserve">ESCRITORIO GRIS </t>
  </si>
  <si>
    <t>MONITOR Y CPU NEGRO GHIA</t>
  </si>
  <si>
    <t>TELEFONO NEGRO NORSTAR</t>
  </si>
  <si>
    <t>CPU NEGRO LG</t>
  </si>
  <si>
    <t>CPU NEGRO/GRIS COMPAQ</t>
  </si>
  <si>
    <t>PORCENTAJE</t>
  </si>
  <si>
    <t>FECHA DE ADQUISICIÓN</t>
  </si>
  <si>
    <t>CUENTA CONTABLE</t>
  </si>
  <si>
    <t>1241-113-101-018-01</t>
  </si>
  <si>
    <t>1250-ACTIVOS INTANGIBLES</t>
  </si>
  <si>
    <t>1254-LICENCIAS</t>
  </si>
  <si>
    <t>1254-101-101-018-01</t>
  </si>
  <si>
    <t>DEP. AL 31 DE DIC. 2013</t>
  </si>
  <si>
    <t>VALOR ACTUAL</t>
  </si>
  <si>
    <t>DEL BIEN</t>
  </si>
  <si>
    <t>1241-MOBILIARIO Y EQUIPO DE ADMINISTRACIÓN</t>
  </si>
  <si>
    <t>1241-101 EQUIPO DE COMPUTO</t>
  </si>
  <si>
    <t>1241-101-101-018-01</t>
  </si>
  <si>
    <t>1241-105-101-018-01</t>
  </si>
  <si>
    <t>1242-101-CAMARAS FOTOGRAFICAS</t>
  </si>
  <si>
    <t xml:space="preserve">1242-MOBILIARIO Y EQUIPO EDUCACIONAL </t>
  </si>
  <si>
    <t>1241-MOBILIARIO Y EQUIPO DE ADMINISTRACIÓN/OTROS</t>
  </si>
  <si>
    <t>1241-106-101-018-01</t>
  </si>
  <si>
    <t>PORTAPAPELES NEGRO</t>
  </si>
  <si>
    <t>1241-107-101-018-05</t>
  </si>
  <si>
    <t>1241-107-101-018-01</t>
  </si>
  <si>
    <t>1241-107-101-018-06</t>
  </si>
  <si>
    <t>1241-105-TELEFONO, CELULAR</t>
  </si>
  <si>
    <t>1241-106-PORTAPAPELES</t>
  </si>
  <si>
    <t>1241-115-IMPRESORAS</t>
  </si>
  <si>
    <t>VIDA ÚTIL</t>
  </si>
  <si>
    <t>EN MESES</t>
  </si>
  <si>
    <t>1241-108-SUMADORA</t>
  </si>
  <si>
    <t>1241-103-ESCRITORIO</t>
  </si>
  <si>
    <t>1241-107-SILLA SECRETARIAL</t>
  </si>
  <si>
    <t>PORTAPAPELES</t>
  </si>
  <si>
    <t>ARCHIVEROS</t>
  </si>
  <si>
    <t>VENTILADORES</t>
  </si>
  <si>
    <t>SUMADORAS</t>
  </si>
  <si>
    <t>SILLAS SECRETARIALES</t>
  </si>
  <si>
    <t>IMPRESORAS</t>
  </si>
  <si>
    <t>ESCRITORIOS</t>
  </si>
  <si>
    <t>1241-115-101-018-01</t>
  </si>
  <si>
    <t>1241-108-101-018-06</t>
  </si>
  <si>
    <t>1241-116-CAJA FUERTE</t>
  </si>
  <si>
    <t>CAJA FUERTE</t>
  </si>
  <si>
    <t>1241-116-101-018-06</t>
  </si>
  <si>
    <t>1241-108-101-018-04</t>
  </si>
  <si>
    <t>SCANNERS</t>
  </si>
  <si>
    <t>1241-110-ARCHIVEROS</t>
  </si>
  <si>
    <t>1241-112-SCANNERS</t>
  </si>
  <si>
    <t>1241-107-101-018-04</t>
  </si>
  <si>
    <t>1241-115-101-018-05</t>
  </si>
  <si>
    <t>1241-113-101-018-05</t>
  </si>
  <si>
    <t>1241-106-101-018-05</t>
  </si>
  <si>
    <t>1241-112-101-018-01</t>
  </si>
  <si>
    <t>LICENCIAS</t>
  </si>
  <si>
    <t>1241-113-ELECTRODOMÉSTICOS/VENTILADORES</t>
  </si>
  <si>
    <t>1241-103-101-002-01</t>
  </si>
  <si>
    <t>1241-105-101-002-01</t>
  </si>
  <si>
    <t>1241-107-101-002-01</t>
  </si>
  <si>
    <t>1241-107-SILLAS SECRETARIALES</t>
  </si>
  <si>
    <t>1241-113-ELECTRODOMÉSTICOS</t>
  </si>
  <si>
    <t>1241-113-101-002-01</t>
  </si>
  <si>
    <t>1241-103-101-003-01</t>
  </si>
  <si>
    <t>1241-109-101-003-01</t>
  </si>
  <si>
    <t>1241-107-101-003-01</t>
  </si>
  <si>
    <t>1241-110-101-003-01</t>
  </si>
  <si>
    <t>1241-109-BASES METÁLICAS</t>
  </si>
  <si>
    <t>1241-101-101-005-01</t>
  </si>
  <si>
    <t>1241-103-101-005-01</t>
  </si>
  <si>
    <t>1241-105-101-005-01</t>
  </si>
  <si>
    <t>1241-106-101-005-01</t>
  </si>
  <si>
    <t>1241-107-101-005-01</t>
  </si>
  <si>
    <t>1241-110-101-005-01</t>
  </si>
  <si>
    <t>1241-113-101-005-01</t>
  </si>
  <si>
    <t>1241-106-ANAQUELES, REPISAS, LIBREROS</t>
  </si>
  <si>
    <t>ANAQUEL/REPISA</t>
  </si>
  <si>
    <t>1246-MAQUINARIA, OTROS EQUIPOS Y HERRAMIENTAS</t>
  </si>
  <si>
    <t>1246-003-101-005-01</t>
  </si>
  <si>
    <t>1241-103-101-006-01</t>
  </si>
  <si>
    <t>1241-110-101-008-01</t>
  </si>
  <si>
    <t>1241-117-MÁQUINA DE ESCRIBIR</t>
  </si>
  <si>
    <t>MÁQUINA DE ESCRIBIR</t>
  </si>
  <si>
    <t>1241-103-101-008-01</t>
  </si>
  <si>
    <t>1241-101-101-012-01</t>
  </si>
  <si>
    <t>MOUSE NEGRO GENIUS</t>
  </si>
  <si>
    <t>1241-107-101-012-01</t>
  </si>
  <si>
    <t>1241-115-101-012-01</t>
  </si>
  <si>
    <t>IMPRESORA BLANCO/GRIS</t>
  </si>
  <si>
    <t>1241-102-101-012-01</t>
  </si>
  <si>
    <t>1241-103-101-024-01</t>
  </si>
  <si>
    <t>1241-106-101-024-01</t>
  </si>
  <si>
    <t>1241-107-101-024-01</t>
  </si>
  <si>
    <t>1241-108-101-024-01</t>
  </si>
  <si>
    <t>1241-110-101-024-01</t>
  </si>
  <si>
    <t>1241-113-101-024-01</t>
  </si>
  <si>
    <t>ESCALERAS</t>
  </si>
  <si>
    <t>1293-MOBILIARIO Y EQUIPO DE ADMINISTRACIÓN/COMODATO</t>
  </si>
  <si>
    <t>1293-001 EQUIPO DE COMPUTO/COMODATO</t>
  </si>
  <si>
    <t>1293-015-IMPRESORA/COMODATO</t>
  </si>
  <si>
    <t>1293-015-002-024-01</t>
  </si>
  <si>
    <t>IMPRESORA</t>
  </si>
  <si>
    <t>1241-101-101-026-01</t>
  </si>
  <si>
    <t>1241-113-101-026-01</t>
  </si>
  <si>
    <t>1242-101-DVD</t>
  </si>
  <si>
    <t>DVD</t>
  </si>
  <si>
    <t>1241-101-101-045-01</t>
  </si>
  <si>
    <t>1241-105-101-045-01</t>
  </si>
  <si>
    <t>PIZARRÓN DE PARED CAFÉ/PLATA</t>
  </si>
  <si>
    <t>1293-MOBILIARIO Y EQUIPO DE ADMINISTRACIÓN</t>
  </si>
  <si>
    <t>PIZARRÓN</t>
  </si>
  <si>
    <t>1293-003-ESCRITORIO</t>
  </si>
  <si>
    <t>1293-003-101-045-01</t>
  </si>
  <si>
    <t>1241-103-ESCRITORIO/MUEBLE PARA CÓMPUTO</t>
  </si>
  <si>
    <t>ESCRITORIOS/MUEBLE CÓMPUTO</t>
  </si>
  <si>
    <t>ESCRITORIO HERMIMAN-LUXE CEREZO</t>
  </si>
  <si>
    <t>SILLA TUBULAR TAPIZADA EN TELA</t>
  </si>
  <si>
    <t>ARCHIVERO METALICO 4 GAVETAS</t>
  </si>
  <si>
    <t>VENTILADOR DE PISO LASKO BLANCO</t>
  </si>
  <si>
    <t xml:space="preserve">                                    MUNICIPIO DE PIHUAMO, JALISCO</t>
  </si>
  <si>
    <t>1293-EQUIPO DE CÓMPUTO/COMODATO</t>
  </si>
  <si>
    <t>1293-001-001-034-01</t>
  </si>
  <si>
    <t>PC LENOVO NEGRA</t>
  </si>
  <si>
    <t>1293-MOBILIARIO Y EQUIPO EDUCACIONAL/COMODATO</t>
  </si>
  <si>
    <t>1293-002-CÁMARAS FOTOGRÁFICAS/COMODATO</t>
  </si>
  <si>
    <t>1293-001-002-034-01</t>
  </si>
  <si>
    <t>CÁMARA FOTOGRÁFICA SONY NEGRA</t>
  </si>
  <si>
    <t>1293-003-002-034-01</t>
  </si>
  <si>
    <t>1293-001-003-034-01</t>
  </si>
  <si>
    <t>1293-MOBILIARIO Y EQUIPO EDUCACIONAL Y RECREATIVO/COMODATO</t>
  </si>
  <si>
    <t>1293-003-ESCRITORIO/COMODATO</t>
  </si>
  <si>
    <t>1293-006-001-034-01</t>
  </si>
  <si>
    <t>ANAQUEL GRIS CEA</t>
  </si>
  <si>
    <t>1293-MOBILIARIO Y EQUIPO DE ADMINISTRACIÓN/OTROS/COMODATO</t>
  </si>
  <si>
    <t>1293-006-ANAQUELES, REPISAS, LIBREROS/COMODATO</t>
  </si>
  <si>
    <t>1241-107-SILLA SECRETARIAL/COMODATO</t>
  </si>
  <si>
    <t>SILLA SECRETARIAL CEA NEGRO</t>
  </si>
  <si>
    <t>1293-007-001-034-01</t>
  </si>
  <si>
    <t>1293-010-ARCHIVEROS/COMODATO</t>
  </si>
  <si>
    <t>1293-010-001-034-01</t>
  </si>
  <si>
    <t>ARCHIVERO METALICO 2 GAVETAS CEA GRIS</t>
  </si>
  <si>
    <t>1293-035-001-034-01</t>
  </si>
  <si>
    <t>1293-035-PINTARRÓN CEA BLANCO/COMODATO</t>
  </si>
  <si>
    <t>PINTARRÓN CEA BLANCO</t>
  </si>
  <si>
    <t>1293-036-MULTIFUNCIONAL EPSON NEGRO/COMODATO</t>
  </si>
  <si>
    <t>1293-036-001-034-01</t>
  </si>
  <si>
    <t xml:space="preserve">                                                                                               Cálculo Depreciación de Activos Fijos Ej. 2013.</t>
  </si>
  <si>
    <t>1241-101-101-036-01</t>
  </si>
  <si>
    <t>MONITOR IBM NEGRO</t>
  </si>
  <si>
    <t>MOUSE GENIUS NEGRO</t>
  </si>
  <si>
    <t>1241-103-101-036-01</t>
  </si>
  <si>
    <t>ESCRITORIO NEGRO/CAFÉ</t>
  </si>
  <si>
    <t>1241-107-101-036-01</t>
  </si>
  <si>
    <t>SILLA GIRATORIA SECRETARIAL NEGRO</t>
  </si>
  <si>
    <t>1241-110-101-036-01</t>
  </si>
  <si>
    <t>1246-003-BÁSCULA DIGITAL TORREY GRIS/NEGRO</t>
  </si>
  <si>
    <t>BÁSCULA DIGITAL</t>
  </si>
  <si>
    <t>1246-003-101-036-01</t>
  </si>
  <si>
    <t>1241-101-101-013-01</t>
  </si>
  <si>
    <t>CPU TIPO TORRE ACTIVE COOL NEGRO</t>
  </si>
  <si>
    <t>TECLADO ACTECK NEGRO</t>
  </si>
  <si>
    <t>MONITOR Y CPU MICRO STAR NEGRO (A)</t>
  </si>
  <si>
    <t>TECLADO Y MOUSE GENIUS NEGRO</t>
  </si>
  <si>
    <t>REGULADOR DATASHIELD NEGRO</t>
  </si>
  <si>
    <t>MONITOR/CPU, SAMSUNG/INTEL PENTIUM</t>
  </si>
  <si>
    <t>KIT TECLADO/MOUSE, ACTECK/MICROSOFT</t>
  </si>
  <si>
    <t>1241-103-101-013-01</t>
  </si>
  <si>
    <t>ESCRITORIO CAFÉ</t>
  </si>
  <si>
    <t>ESCRITORIO METÁLICO</t>
  </si>
  <si>
    <t>1241-101 EQ. CÓMPUTO Y TECNOLOGÍAS DE LA INFORMACIÓN</t>
  </si>
  <si>
    <t>EQ. CÓMPUTO Y TECNOLOGÍAS DE LA INFORMACIÓN</t>
  </si>
  <si>
    <t>1241-104-101-013-01</t>
  </si>
  <si>
    <t>PAR BOCINAS PERFECT CHOICE</t>
  </si>
  <si>
    <t>1241-105-101-013-01</t>
  </si>
  <si>
    <t>TELEFONO NOSTAR NEGRO</t>
  </si>
  <si>
    <t>1241-107-101-013-01</t>
  </si>
  <si>
    <t>SILLA ACOJINADA NEGRA</t>
  </si>
  <si>
    <t>SILLA GIRATORIA CON BRAZOS</t>
  </si>
  <si>
    <t>1241-110-101-013-01</t>
  </si>
  <si>
    <t>ARCHIVERO METALICO 3 CAJONES GRIS</t>
  </si>
  <si>
    <t>1241-112-101-013-01</t>
  </si>
  <si>
    <t>SCANNER HP SCANJET GRIS/BEIGE</t>
  </si>
  <si>
    <t>1241-113-101-013-01</t>
  </si>
  <si>
    <t>VENTILADOR DE PEDESTAL YTEK BLANCO</t>
  </si>
  <si>
    <t>1241-115-IMPRESORA</t>
  </si>
  <si>
    <t>1241-115-101-013-01</t>
  </si>
  <si>
    <t>IMPRESORA HP LASRJET GRIS</t>
  </si>
  <si>
    <t>IMPRESORA HP LASERJET GRIS/BEIGE</t>
  </si>
  <si>
    <t>1241-124-ENGARGOLADORA</t>
  </si>
  <si>
    <t>1241-124-101-013-01</t>
  </si>
  <si>
    <t>ENGARGOLADORA IBICO GBC METAL/NEGRO</t>
  </si>
  <si>
    <t>1241-134-RUTEADOR</t>
  </si>
  <si>
    <t>RUTEADOR</t>
  </si>
  <si>
    <t>1241-134-101-013-01</t>
  </si>
  <si>
    <t>RUTEADOR TP-LINK BLANCO/NEGRO</t>
  </si>
  <si>
    <t>CÁMARA DIGITAL FUJIFILM FINEPIX JV 310</t>
  </si>
  <si>
    <t>CÁMARA DIGITAL LUMIX VERDE</t>
  </si>
  <si>
    <t>1241-101-101-009-01</t>
  </si>
  <si>
    <t>1241-103-101-009-01</t>
  </si>
  <si>
    <t>1241-106-MUEBLES DE OFICINA Y ESTANTERÍA</t>
  </si>
  <si>
    <t>ESTANTERÍA</t>
  </si>
  <si>
    <t>1241-117-101-09-01</t>
  </si>
  <si>
    <r>
      <t xml:space="preserve">DEPARTAMENTO: </t>
    </r>
    <r>
      <rPr>
        <b/>
        <sz val="10"/>
        <rFont val="Arial"/>
        <family val="2"/>
      </rPr>
      <t>SEGURIDAD PÚBLICA</t>
    </r>
  </si>
  <si>
    <t>1241-101-101-047-01</t>
  </si>
  <si>
    <t>MONITOR LENOVO NEGRO</t>
  </si>
  <si>
    <t>CPU LENOVO NEGRO</t>
  </si>
  <si>
    <t>TECLADO LENOVO NEGRO</t>
  </si>
  <si>
    <t>MOUSE LENOVO NEGRO</t>
  </si>
  <si>
    <t>CPU LÁNIX NEGRO</t>
  </si>
  <si>
    <t>MONITOR HANNS-G</t>
  </si>
  <si>
    <t>TECLADO PERFECT CHOICE NEGRO</t>
  </si>
  <si>
    <t>1241-103-101-047-01</t>
  </si>
  <si>
    <t>ESCRITORIO GRIS</t>
  </si>
  <si>
    <t>1241-104-101-047-01</t>
  </si>
  <si>
    <t>PAR BOCINAS USAP CREMA</t>
  </si>
  <si>
    <t>1241-106-101-047-01</t>
  </si>
  <si>
    <t>1241-107-101-047-01</t>
  </si>
  <si>
    <t>SILLA GRIS</t>
  </si>
  <si>
    <t>DIRECCIÓN DE SEGURIDAD PÚBLICA</t>
  </si>
  <si>
    <t>BANCO DE ARMAS</t>
  </si>
  <si>
    <t>1241-109-101-047-01</t>
  </si>
  <si>
    <t>BANCO DE ARMAS NEGRO</t>
  </si>
  <si>
    <t>1241-110-101-047-01</t>
  </si>
  <si>
    <t>ARCHIVERO GRIS</t>
  </si>
  <si>
    <t>ARCHIVERO NEGRO</t>
  </si>
  <si>
    <t>1241-112-101-047-01</t>
  </si>
  <si>
    <t>SCANNER COGENT SYSTEMS</t>
  </si>
  <si>
    <t>1241-115-101-047-01</t>
  </si>
  <si>
    <t>IMPRESORA HP CREMA</t>
  </si>
  <si>
    <t>1241-109-BANCAS METÁLICAS</t>
  </si>
  <si>
    <t>BANCAS METÁLICAS</t>
  </si>
  <si>
    <t>1241-121-101-047-01</t>
  </si>
  <si>
    <t>BANCA METÁLICA NEGRA</t>
  </si>
  <si>
    <t>CÁMARA LOGITECH NEGRO</t>
  </si>
  <si>
    <t>CÁMARA FUJIFILM NEGRO</t>
  </si>
  <si>
    <t>CÁMARA SAMSUNG BLANCA</t>
  </si>
  <si>
    <t>MONITOR DELL NEGRO</t>
  </si>
  <si>
    <t>1241-101-101-047-02</t>
  </si>
  <si>
    <t>1241-103-101-047-02</t>
  </si>
  <si>
    <t>1241-105-101-047-02</t>
  </si>
  <si>
    <t>TELÉFONO NORTEL NETWORKS</t>
  </si>
  <si>
    <t>LÓQUER</t>
  </si>
  <si>
    <t>1241-109-101-047-02</t>
  </si>
  <si>
    <t>1241-106-101-047-02</t>
  </si>
  <si>
    <t>LÓQUER NEGRO</t>
  </si>
  <si>
    <t>1241-113-ELECTRODOMÉSTICOS/REFRIGERADORES</t>
  </si>
  <si>
    <t>REFRIGERADORES</t>
  </si>
  <si>
    <t>1241-113-101-047-02</t>
  </si>
  <si>
    <t>REFRIGERADOR BLANCO</t>
  </si>
  <si>
    <t>ESTUFA NEGRA</t>
  </si>
  <si>
    <t>COMEDOR</t>
  </si>
  <si>
    <t>1241-119-MOBILIARIOS Y EQUIPO DE ADMINISTRACIÓN</t>
  </si>
  <si>
    <t>1241-119-101-047-02</t>
  </si>
  <si>
    <t>COMEDOR DE MADERA</t>
  </si>
  <si>
    <t>1246-MAQUINARIA OTROS EQUIPOS Y HERRAMIENTAS</t>
  </si>
  <si>
    <t>1246-103-CATRES</t>
  </si>
  <si>
    <t>CÁTRES</t>
  </si>
  <si>
    <t>1246-103-101-047-02</t>
  </si>
  <si>
    <t>CATRE GRIS</t>
  </si>
  <si>
    <t>1246-103-102-047-02</t>
  </si>
  <si>
    <t>1246-103-103-047-02</t>
  </si>
  <si>
    <t>1246-103-104-047-02</t>
  </si>
  <si>
    <t>1246-103-105-047-02</t>
  </si>
  <si>
    <t>1246-103-106-047-02</t>
  </si>
  <si>
    <t>1246-103-107-047-02</t>
  </si>
  <si>
    <t>1246-103-108-047-02</t>
  </si>
  <si>
    <t>1246-103-109-047-02</t>
  </si>
  <si>
    <t>1246-103-110-047-02</t>
  </si>
  <si>
    <t>1246-103-111-047-02</t>
  </si>
  <si>
    <t>1293-101 EQUIPO DE COMPUTO/COMODATO</t>
  </si>
  <si>
    <t>1293-001-004-047-02</t>
  </si>
  <si>
    <t>CPU LANIX GENSIS CREMA</t>
  </si>
  <si>
    <t>CABINA DE SEGURIDAD PÚBLICA</t>
  </si>
  <si>
    <t>EQUIPO DE SEGURIDAD Y ARMAMENTO DE SEGURIDAD PÚBLICA</t>
  </si>
  <si>
    <t>PIZARRÓN PLANEADOR</t>
  </si>
  <si>
    <t>1241-115-101-003-01</t>
  </si>
  <si>
    <t>IMPRESORA HP PRO 400</t>
  </si>
  <si>
    <t>1243- EQUIPO E INSTRUMENTAL MÉDICO Y DE LABORATOTIO</t>
  </si>
  <si>
    <t>1243-001-EXTINGUIDOR ROJO</t>
  </si>
  <si>
    <t>1243-001-234-045-01/01</t>
  </si>
  <si>
    <t>EXTINGUIDOR ROJO</t>
  </si>
  <si>
    <t>MULTIFUNSIONAL</t>
  </si>
  <si>
    <t>1241-101-101-031-01</t>
  </si>
  <si>
    <t>1241-103-101-031-01</t>
  </si>
  <si>
    <t>1241-105-101-031-01</t>
  </si>
  <si>
    <t>1241-107-101-031-01</t>
  </si>
  <si>
    <t>1241-113-101-031-01</t>
  </si>
  <si>
    <t>COMPUTADORA</t>
  </si>
  <si>
    <t>BASES METÁLICAS (ESPECTACULARES)</t>
  </si>
  <si>
    <t>CÁMARA DIGITAL FUJIFILM FINEPIX JV 300</t>
  </si>
  <si>
    <t>VENTILADOR</t>
  </si>
  <si>
    <t>1241-103-101-038-01</t>
  </si>
  <si>
    <t>1241-105-101-038-01</t>
  </si>
  <si>
    <t>1241-MOBILIARIO Y EQUIPO DE ADMINISTRACIÓN (OTROS)</t>
  </si>
  <si>
    <t>1241-113-VENTILADOR DE PEDESTAL</t>
  </si>
  <si>
    <t>VENTILADOR DE PEDESTAL</t>
  </si>
  <si>
    <t>1241-113-101-038-01</t>
  </si>
  <si>
    <t>ESCALERA DE ALUMINIO 7 ESCALONES</t>
  </si>
  <si>
    <t>CARRETILLA TRUPER 45-ND</t>
  </si>
  <si>
    <t>1242-005-OTRO MOBILIARIO Y EQ. EDUCACIONAL Y RECREATIVO</t>
  </si>
  <si>
    <t>1242-005-101-018-01</t>
  </si>
  <si>
    <t>1241-112-MULTIFUNCIONAL</t>
  </si>
  <si>
    <t>1241-112-101-031-01</t>
  </si>
  <si>
    <t>1241-101-234-047-01</t>
  </si>
  <si>
    <t>1246-003-101-055-01</t>
  </si>
  <si>
    <t>1246-003-101-050-01</t>
  </si>
  <si>
    <t>1246-003-101-050-02/00</t>
  </si>
  <si>
    <t>1242-101-006-030-01</t>
  </si>
  <si>
    <t>MONITOR NEGRO GATEWAY</t>
  </si>
  <si>
    <t>CPU NEGRO THERMAL MASTER</t>
  </si>
  <si>
    <t xml:space="preserve">1241-MOBILIARIO Y EQUIPO EDUCACIONAL </t>
  </si>
  <si>
    <t>1241-102-CAMARAS FOTOGRAFICAS</t>
  </si>
  <si>
    <t>1241-102-018-01</t>
  </si>
  <si>
    <t>1241-102-101-013-01</t>
  </si>
  <si>
    <t>1246-002-OTROS EQUIPOS/ESCALERAS</t>
  </si>
  <si>
    <t>1246-002-101-024-01</t>
  </si>
  <si>
    <t>1242-MOBILIARIO Y EQUIPO DE ADMINISTRACIÓN/OTROS</t>
  </si>
  <si>
    <t>1242-007-PIZARRÓN</t>
  </si>
  <si>
    <t>1242-007-101-045-01</t>
  </si>
  <si>
    <t>1241-102-101-047-01</t>
  </si>
  <si>
    <t>1241-101-101-042-01</t>
  </si>
  <si>
    <t>1241-102-CÁMARAS FOTOGRÁFICAS</t>
  </si>
  <si>
    <t>CÁMARAS FOTOGRÁFICAS</t>
  </si>
  <si>
    <t>1241-102-101-042-01</t>
  </si>
  <si>
    <t>1241-103-101-042-01</t>
  </si>
  <si>
    <t>1241-105-101-042-01</t>
  </si>
  <si>
    <t>1241-106-101-042-01</t>
  </si>
  <si>
    <t>1241-107-101-042-01</t>
  </si>
  <si>
    <t>1241-110-101-042-01</t>
  </si>
  <si>
    <t>1241-112-COPIADORAS Y ESCÁNERS</t>
  </si>
  <si>
    <t>COPIADORAS Y ESCÁNERS</t>
  </si>
  <si>
    <t>1241-112-101-042-01</t>
  </si>
  <si>
    <t>1241-113-101-042-01</t>
  </si>
  <si>
    <t>1241-115-101-042-01</t>
  </si>
  <si>
    <t>1241-124-PERFORADORA</t>
  </si>
  <si>
    <t>PERFORADORA</t>
  </si>
  <si>
    <t>1241-135-LLAVE PROGRAMA OPUS</t>
  </si>
  <si>
    <t>1241-135-101-042-01</t>
  </si>
  <si>
    <t>1241-136-NAVEGADOR AZUL MARINO</t>
  </si>
  <si>
    <t>NAVEGADOR AZUL MARINO</t>
  </si>
  <si>
    <t>1241-136-101-042-01</t>
  </si>
  <si>
    <t>1241-137-NIVEL LÁSER</t>
  </si>
  <si>
    <t>NIVEL LÁSER</t>
  </si>
  <si>
    <t>1241-137-101-042-01</t>
  </si>
  <si>
    <t>1241-139-PROGRAMA BLANCO CON AZUL</t>
  </si>
  <si>
    <t>PROGRAMA BLANCO CON AZUL</t>
  </si>
  <si>
    <t>1241-139-101-042-01</t>
  </si>
  <si>
    <t>1241-140-101-042-01</t>
  </si>
  <si>
    <t>EQUIPO DE SEGURIDAD Y ARMAMENTO</t>
  </si>
  <si>
    <t>1245-001-ARMA ESCUADRA CALIBRE 40MM.</t>
  </si>
  <si>
    <t>1245-001-234-047-03/01</t>
  </si>
  <si>
    <t>ARMA ESCUADRA CALIBRE 40 MM</t>
  </si>
  <si>
    <t>1245-001-234-047-03/02</t>
  </si>
  <si>
    <t>1245-001-234-047-03/03</t>
  </si>
  <si>
    <t>1245-001-234-047-03/04</t>
  </si>
  <si>
    <t>1245-001-234-047-03/05</t>
  </si>
  <si>
    <t>1245-001-234-047-03/06</t>
  </si>
  <si>
    <t>1245-001-234-047-03/07</t>
  </si>
  <si>
    <t>1245-001-234-047-03/08</t>
  </si>
  <si>
    <t>1245-001-234-047-03/09</t>
  </si>
  <si>
    <t>1245-001-234-047-03/10</t>
  </si>
  <si>
    <t>1245-001-234-047-03/11</t>
  </si>
  <si>
    <t>1245-006-234-047-03</t>
  </si>
  <si>
    <t>RADIO KENWOOD NEGRO TK-2202</t>
  </si>
  <si>
    <t>RADIO KENWOOD NEGRO TK-2160</t>
  </si>
  <si>
    <t>1243-EQUIPO E INSTRUMENTQL MÉDICO Y DE LABORATORIO</t>
  </si>
  <si>
    <t>EXTINTORES</t>
  </si>
  <si>
    <t>1245- EQUIPO DE SEGURIDAD Y ARMAMENTO</t>
  </si>
  <si>
    <t>1243-001-234-047-03/01</t>
  </si>
  <si>
    <t>EXTINTOR ROJO</t>
  </si>
  <si>
    <t>1243-001-234-047-03/02</t>
  </si>
  <si>
    <t>1243-001-234-047-03/03</t>
  </si>
  <si>
    <t>1243-001-234-047-03/04</t>
  </si>
  <si>
    <t>1243-001-234-047-03/05</t>
  </si>
  <si>
    <t>1243-001-234-047-03/06</t>
  </si>
  <si>
    <t>1243-001-234-047-03/07</t>
  </si>
  <si>
    <t>1243-001-234-047-03/08</t>
  </si>
  <si>
    <t>1243-001-234-047-03/09</t>
  </si>
  <si>
    <t>1243-001-234-047-03/10</t>
  </si>
  <si>
    <t>1243-001-234-047-03/11</t>
  </si>
  <si>
    <t>1243-001-234-047-03/12</t>
  </si>
  <si>
    <t>1243-001-234-047-03/13</t>
  </si>
  <si>
    <t>1243-001-234-047-03/14</t>
  </si>
  <si>
    <t>1243-001-234-047-03/15</t>
  </si>
  <si>
    <t>1245-006-RADIO KENWOOD NEGRO</t>
  </si>
  <si>
    <t>RADIO KENWOOD NEGRO</t>
  </si>
  <si>
    <t>RADIO KENWOOD NEGRO TK-2726</t>
  </si>
  <si>
    <t>RADIO KENWOOD NEGRO TK-2212</t>
  </si>
  <si>
    <t>RADIO KENWOOD NEGRO TK6102H</t>
  </si>
  <si>
    <t>RADIO KENWOOD NEGRO TK-7102-H</t>
  </si>
  <si>
    <t>RADIO KENWOOD NEGRO S/M</t>
  </si>
  <si>
    <t>1243-001- EXTINTORES</t>
  </si>
  <si>
    <t>REVALORIZADO</t>
  </si>
  <si>
    <t>ESTIMADA</t>
  </si>
  <si>
    <t>ESTIMADA (MESES)</t>
  </si>
  <si>
    <t>AÑOS DE VIDA ÚTIL</t>
  </si>
  <si>
    <t xml:space="preserve">VIDA ÚTIL RESTANTE </t>
  </si>
  <si>
    <t>CONTABILIDAD</t>
  </si>
  <si>
    <t>COMODATO DE PATRIMONIO MUNICIPAL</t>
  </si>
  <si>
    <t>ADMINISTRACIÓN 2012-2015</t>
  </si>
  <si>
    <r>
      <t xml:space="preserve">DEPARTAMENTO: </t>
    </r>
    <r>
      <rPr>
        <b/>
        <sz val="10"/>
        <color theme="0"/>
        <rFont val="Arial"/>
        <family val="2"/>
      </rPr>
      <t>HACIENDA MUNICIPAL</t>
    </r>
  </si>
  <si>
    <t>Cálculo Depreciación de Activos Fijos Ejercicio Fiscal 2014</t>
  </si>
  <si>
    <t>HACIENDA</t>
  </si>
  <si>
    <t>EGRESOS</t>
  </si>
  <si>
    <t>REVALUACIÓN</t>
  </si>
  <si>
    <t>PRESIDENCIA MUNICIPAL</t>
  </si>
  <si>
    <t>*REVALÚO DE PATRIMONIO CONTEMPLANDO UNA VIDA ÚTIL ESTIMADA DE 2 AÑOS CONSIDERANDO DEL 01 DE ENERO AL 31 DE DICIEMBRE DE 2015</t>
  </si>
  <si>
    <t>SECRETARÍA GENERAL</t>
  </si>
  <si>
    <t>1241-105-101-003-01</t>
  </si>
  <si>
    <t>2 ARCHIVEROS METALICOS GRIS</t>
  </si>
  <si>
    <t>OFICIALÍA MAYOR ADMINISTRATIVA</t>
  </si>
  <si>
    <t>DIRECCIÓN/DEPARTAMENTO/   ÁREA</t>
  </si>
  <si>
    <t>1241-106-101-018-06</t>
  </si>
  <si>
    <t>SECRETARIA PARTICULAR</t>
  </si>
  <si>
    <t>DIRECCIÓN/DEPARTAMENTO/ ÁREA</t>
  </si>
  <si>
    <t>1241-111-SILLAS SECRETARIALES</t>
  </si>
  <si>
    <t>1241-111-101-002-01</t>
  </si>
  <si>
    <t>COMUNICACIÓN SOCIAL</t>
  </si>
  <si>
    <t>DIRECCIÓN DE COMUNICACIÓN SOCIAL</t>
  </si>
  <si>
    <t>JURÍDICO</t>
  </si>
  <si>
    <t>RECEPCIONISTA</t>
  </si>
  <si>
    <t>1241-102-101-006-01</t>
  </si>
  <si>
    <t>CAMARA DIGITAL SEMIPROFESIONAL</t>
  </si>
  <si>
    <t>RELACIONES PÚBLICAS Y COMU</t>
  </si>
  <si>
    <t>RECLUTAMIENTO</t>
  </si>
  <si>
    <t>PARQUE VEHICULAR</t>
  </si>
  <si>
    <t>SILLA SECRETARIAL NEGRO</t>
  </si>
  <si>
    <t>JUNTA MUNICIPAL DE RECLUTAMIENTO</t>
  </si>
  <si>
    <t>DIRECCIÓN DE DEPORTES</t>
  </si>
  <si>
    <t>DEPORTES</t>
  </si>
  <si>
    <t>DIRECCIÓN DE CÓMPUTO E INFORMÁTICA</t>
  </si>
  <si>
    <t>CÓMPUTO E INFORMÁTICA</t>
  </si>
  <si>
    <t>TECLADO LENOVO BÁSICO</t>
  </si>
  <si>
    <t>1242-006-101-026-01</t>
  </si>
  <si>
    <t>DIRECCIÓN DE DESARROLLO RURAL</t>
  </si>
  <si>
    <t>DIRECCIÓN DESARROLLO RURAL</t>
  </si>
  <si>
    <t>MULTIFUNCIONAL</t>
  </si>
  <si>
    <t>DIRECCIÓN DE ECOLOGÍA</t>
  </si>
  <si>
    <t>BÁSCULA DIGITAL TORREY GRIS/NEGRO</t>
  </si>
  <si>
    <t>&lt;</t>
  </si>
  <si>
    <t>PROTECCIÓN CIVIL</t>
  </si>
  <si>
    <t>DIRECCIÓN DE PROTECCIÓN CIVIL</t>
  </si>
  <si>
    <t>REVALUACIÓN                                     01 DE ENERO DE 2014 AL                         31 DE DICIEMBRE DE 2015</t>
  </si>
  <si>
    <t>MESA CAFÉ CON NEGRO</t>
  </si>
  <si>
    <t>SERVICIOS PÚBLICOS</t>
  </si>
  <si>
    <t>DIRECCIÓN DE SERVICIOS PÚBLICOS</t>
  </si>
  <si>
    <t>COMPRESOR A GASOLINA 6.5 HP 32 LTS.</t>
  </si>
  <si>
    <t>DIRECCIÓN DE OBRAS PÚBLICAS</t>
  </si>
  <si>
    <t>OBRAS PÚBLICAS</t>
  </si>
  <si>
    <t>FOTOGRAFÍA AÉREA DEL MUNICIPIO</t>
  </si>
  <si>
    <t xml:space="preserve">   </t>
  </si>
  <si>
    <t>CATASTRO MUNICIPAL</t>
  </si>
  <si>
    <t>COTIZACIÓN INTERNET</t>
  </si>
  <si>
    <t>COMODATO</t>
  </si>
  <si>
    <t>CULTURA DEL AGUA</t>
  </si>
  <si>
    <t>MULTIFUNCIONAL EPSON NEGRO</t>
  </si>
  <si>
    <t>REGISTRO CIVIL</t>
  </si>
  <si>
    <t>PODADORA, COLOR NEGRO, CRAFTSMAN, TORQ 21"</t>
  </si>
  <si>
    <t>1246-002-101-050-01</t>
  </si>
  <si>
    <t>PICO DE FIERRO, COLOR NARANJA CON AZA DE MADERA</t>
  </si>
  <si>
    <t>14 PALAS METÁLICAS CON AZA DE MADERA</t>
  </si>
  <si>
    <t>1246-005-COMPRESOR</t>
  </si>
  <si>
    <t>1246-002-PICO Y PALAS</t>
  </si>
  <si>
    <t>1246-003-BASES METÁLICAS</t>
  </si>
  <si>
    <t>1241-110-101-050-01</t>
  </si>
  <si>
    <t>ARCHIVERO DE METAL, COLOR GRIS</t>
  </si>
  <si>
    <t>2 AZADONES</t>
  </si>
  <si>
    <t>CUCHARAS PARA MEZCLA</t>
  </si>
  <si>
    <t>2 MARROS DE METAL CON AZA DE MADERA</t>
  </si>
  <si>
    <t>2 RASTRILLOS</t>
  </si>
  <si>
    <t>ESCALERA DE EXTENSIÓN COLOR NARANJA</t>
  </si>
  <si>
    <t>1246-002 ESCALERAS</t>
  </si>
  <si>
    <t>1246-002-101-050-02/00</t>
  </si>
  <si>
    <t>1246-003 OTRAS HERRAMIENTAS</t>
  </si>
  <si>
    <t>1241-113-101-050-01</t>
  </si>
  <si>
    <t>VENTILADOR, LASKO, COLOR GRIS</t>
  </si>
  <si>
    <t>1241-103-ESCRITORIOS, MESAS</t>
  </si>
  <si>
    <t>1241-103-101-050-01</t>
  </si>
  <si>
    <t xml:space="preserve">ESCRITORIO DE OFICINA AGLOMERADO </t>
  </si>
  <si>
    <t>DIRECCIÓN DE PROMOCIÓN ECONÓMICA Y DESARROLLO SOCIAL</t>
  </si>
  <si>
    <t>PROMOCIÓN ECONÓMICA Y DESARROLLO SOCIAL</t>
  </si>
  <si>
    <t>EXTENSIÓN ELÉCTRICA USO RUDO VOLTECH</t>
  </si>
  <si>
    <t>ESCALERA DE ALUMINIO 5 ESCALONES</t>
  </si>
  <si>
    <t>1246-005-101-049-01</t>
  </si>
  <si>
    <t>DIR. SERV. PÚB./AGUA POTABLE</t>
  </si>
  <si>
    <t>DIR. SERV. PÚB./PARQUES Y JARDINES</t>
  </si>
  <si>
    <t>1246-002-101-056-01</t>
  </si>
  <si>
    <t>DIR. SERV. PÚB./ALUMBRADO PÚBLICO</t>
  </si>
  <si>
    <t>MONITOR NEGRO ACER</t>
  </si>
  <si>
    <t>1241-101-101-029-01</t>
  </si>
  <si>
    <t>LAPTOP, ROSA, MARCA ASUS TOUCH</t>
  </si>
  <si>
    <t>PANTALLA LED, NEGRO, TOSHIBA</t>
  </si>
  <si>
    <t>VENTILADOR DE PISO CYCLONE GRIS</t>
  </si>
  <si>
    <t>1241-102-101-029-01</t>
  </si>
  <si>
    <t>CÁMARA DIGITAL, ROJO, MARCA SAMSUNG</t>
  </si>
  <si>
    <t>COMPUTADORA, NEGRO, HP PAVILION, ALL IN ONE</t>
  </si>
  <si>
    <t>1241-103-101-029-01</t>
  </si>
  <si>
    <t>MESA DE JUNTAS</t>
  </si>
  <si>
    <t>ESCRITORIO GERENCIAL AMBIENT, DERECHO</t>
  </si>
  <si>
    <t>1241-104 EQ. CÓMPUTO Y TECNOLOGÍAS DE LA INFORMACIÓN</t>
  </si>
  <si>
    <t>1241-104-101-029-01</t>
  </si>
  <si>
    <t>BOCINA AMPLIFICADA CON TRIPIÉ, COLOR NEGRO</t>
  </si>
  <si>
    <t>1241-105-101-029-01</t>
  </si>
  <si>
    <t>TELÉFONO INALÁMBRICO, BLANCO CON ROSA, VTECH, VTONE 300P</t>
  </si>
  <si>
    <t>1241-107-101-029-01</t>
  </si>
  <si>
    <t>2 SILLAS DE VISITAS GERENCIALES</t>
  </si>
  <si>
    <t>5 SILLAS PARA JUNTES GERENCIALES</t>
  </si>
  <si>
    <t xml:space="preserve">1 SILLÓN EJECUTVIO EN PIEL CONTEMPORÁNEO </t>
  </si>
  <si>
    <t>1241-110-101-029-01</t>
  </si>
  <si>
    <t>ARCHIVERO DE MELAMINA, CAFÉ</t>
  </si>
  <si>
    <t>1241-115-101-029-01</t>
  </si>
  <si>
    <t>IMPRESORA, NEGRA, EPSON, L300</t>
  </si>
  <si>
    <t>1241-142-TABLONES</t>
  </si>
  <si>
    <t>1241-142-101-029-01</t>
  </si>
  <si>
    <t>2 TABLONES PLEGABLES, GRIS, LIFETIME</t>
  </si>
  <si>
    <t>1241-123-PROYECTOR</t>
  </si>
  <si>
    <t>1241-123-101-029-01</t>
  </si>
  <si>
    <t>PROYECTOR, BLANCO, EPSON, POWER LITE S17</t>
  </si>
  <si>
    <t>1242-005-101-029-01</t>
  </si>
  <si>
    <t>PINTARRÓN, BLANCO</t>
  </si>
  <si>
    <t>INSTITUTO MUNICIPAL DE LA MUJER</t>
  </si>
  <si>
    <t>CASA DE LA CULTURA</t>
  </si>
  <si>
    <t>PIANO DE MADERA, COLOR NOGAL, MODELO M802-F</t>
  </si>
  <si>
    <t>1242-001-101-011-01</t>
  </si>
  <si>
    <t>FAX BROTHER Y TELÉFONO</t>
  </si>
  <si>
    <t>TELÉFONO DIGITAL NEGRO MERIDIAN</t>
  </si>
  <si>
    <t>TECLADO Y MOUSE LOGITECH</t>
  </si>
  <si>
    <t>1241-101-101-018-06</t>
  </si>
  <si>
    <t>VENTILADOR DE PEDESTAL 16"</t>
  </si>
  <si>
    <t>TELÉFONO DIGITAL NEGRO</t>
  </si>
  <si>
    <t>2 DISCOS DUROS TOSHIBA EXTERNO</t>
  </si>
  <si>
    <t>1241-105-101-026-01</t>
  </si>
  <si>
    <t>PLANEACIÓN, PROGRAMACIÓN Y PRESUPUESTOS</t>
  </si>
  <si>
    <t>NO. FACTURA</t>
  </si>
  <si>
    <t>F-3079</t>
  </si>
  <si>
    <t>VALOR A MAYO 2015</t>
  </si>
  <si>
    <t>MESA DE TRABAJO DE MADERA</t>
  </si>
  <si>
    <t>1241-103-MUEBLES DE OFICINA</t>
  </si>
  <si>
    <t>FAX, MARCA BROTHER, COLOR BEIGE</t>
  </si>
  <si>
    <t>TELÉFONO NEGRO NORTEL NETWORKS</t>
  </si>
  <si>
    <t>SALA DE ESPERA, COLOR CAFÉ</t>
  </si>
  <si>
    <t>C. INTERNET</t>
  </si>
  <si>
    <t>VIDA ÚTIL EN MESES</t>
  </si>
  <si>
    <t>IMPORTE (VALOR DEL BIEN AL 31 DE MAYO DE 2015)</t>
  </si>
  <si>
    <t>HISTORIAL DE ADQUISICIÓN</t>
  </si>
  <si>
    <t>IMPORTE DE ADQUISICIÓN</t>
  </si>
  <si>
    <t>CÁLCULO DE LA DEPRECIACIÓN ACTUALIZADA</t>
  </si>
  <si>
    <t>F-464</t>
  </si>
  <si>
    <t>DEP. DEL 01 DE ENERO AL 31 DE MAYO 2015</t>
  </si>
  <si>
    <t>F-5730</t>
  </si>
  <si>
    <t>F-1074</t>
  </si>
  <si>
    <t>TELÉFONO PANASONIC DIGITAL</t>
  </si>
  <si>
    <t>1241-113-VENTILADOR</t>
  </si>
  <si>
    <t>SILLA VISITA, COLOR CAFÉ</t>
  </si>
  <si>
    <t>F-135</t>
  </si>
  <si>
    <t>POSE/2373551</t>
  </si>
  <si>
    <t>VEINTILADOR DE PISO 20", APAS DE FIERRO</t>
  </si>
  <si>
    <t>A-23139</t>
  </si>
  <si>
    <t>Cálculo Depreciación de Activos Fijos Ejercicio Fiscal 2015</t>
  </si>
  <si>
    <r>
      <t xml:space="preserve">NO SE ACTUALIZÓ PORQUE HUBO DEFLACIÓN EN BASE A LOS INPC COMO LO MARCA EL BOLETÍN B-12: </t>
    </r>
    <r>
      <rPr>
        <i/>
        <sz val="10"/>
        <rFont val="Arial"/>
        <family val="2"/>
      </rPr>
      <t>"Un derecho de compensación que no reúna los criterios para ser incondicional puede posteriormente calificar como incondicional si el evento contigente ocurre y el derecho de compensación ya no es condicionado, por lo cual pueden presentarse los activos financieros y pasivos financieros por su monto neto a partir de que ocurre el evento..."</t>
    </r>
  </si>
  <si>
    <t>COMPUTADORA SAMSUNG 300E4C-AOT, NEGRA</t>
  </si>
  <si>
    <t>COMPUTADORA RAM NEGRA GATEWAY</t>
  </si>
  <si>
    <t>COMPUTADORA RAM NEGRO GATEWAY</t>
  </si>
  <si>
    <t>CAMARA DIGITAL NEGRO FUJIFILM</t>
  </si>
  <si>
    <t>BASE DE ANGULO MADERA/FIERRO</t>
  </si>
  <si>
    <t>INGRESOS</t>
  </si>
  <si>
    <t>2 ANAQUELES DE METAL CON 5 ENTREPAÑOS DE MADERA</t>
  </si>
  <si>
    <t>ANAQUEL DE METAL CON 4 ETREPAÑOS DE MADERA</t>
  </si>
  <si>
    <t>SILLA DE TELA NEGRO</t>
  </si>
  <si>
    <t>2 SILLAS SECRETARIALES APILABLES NUEVA ITALIA Y 1 VASTRA AZUL</t>
  </si>
  <si>
    <t xml:space="preserve">SILLA DE PIEL SECRETARIAL NEGRO </t>
  </si>
  <si>
    <t>SILLA SEMIEJECUTIVA</t>
  </si>
  <si>
    <t xml:space="preserve">SILLA SECRETARIAL DE PIEL NEGRO </t>
  </si>
  <si>
    <t>SILLA SECRETARIAL DE PIEL NEGRO</t>
  </si>
  <si>
    <t>SUMADORA BLANCA SHARP</t>
  </si>
  <si>
    <t>SUMADORA BEIGE/GRIS CASIO</t>
  </si>
  <si>
    <t>SCANNER HP GRIS/BEIGE</t>
  </si>
  <si>
    <t>VENTILADOR DE PISO, COLORES GRIS, LAKEWOOD</t>
  </si>
  <si>
    <t xml:space="preserve">VENTILADOR LASKO </t>
  </si>
  <si>
    <t>IMPRESORA HP PRO 400 COLOR</t>
  </si>
  <si>
    <t>IMPRESORA GRIS EPSON LX-300</t>
  </si>
  <si>
    <t>CAJA FUERTE NEGRO/GRIS SENTRY SAFE</t>
  </si>
  <si>
    <t>LICENCIA SOFTWARE CONTABLE 2 USUARIOS/NÓMINAS</t>
  </si>
  <si>
    <t>LICENCIA SOFTWARE CONTABLE 2 LICENCIAS/FACTURA ELECTRÓNICA</t>
  </si>
  <si>
    <t>F-160167</t>
  </si>
  <si>
    <t>F-671086</t>
  </si>
  <si>
    <t>ADG748248</t>
  </si>
  <si>
    <t>POSA26 687 643</t>
  </si>
  <si>
    <t>F-6405</t>
  </si>
  <si>
    <t>% DE USO RESTANTE (DEPRECIADO AL 100%)</t>
  </si>
  <si>
    <t xml:space="preserve">MESES RESTANTES A DEPRECIAR </t>
  </si>
  <si>
    <t>HACIENDA MUNICIPAL</t>
  </si>
  <si>
    <t>POSE133787</t>
  </si>
  <si>
    <t>OP 238</t>
  </si>
  <si>
    <t>0P 239</t>
  </si>
  <si>
    <t>POSE655045</t>
  </si>
  <si>
    <t>POSE296680</t>
  </si>
  <si>
    <t>BBAAJ113779</t>
  </si>
  <si>
    <t>POSE147322</t>
  </si>
  <si>
    <t>COT. INT</t>
  </si>
  <si>
    <t>POSC3628234</t>
  </si>
  <si>
    <t>IMAGS604</t>
  </si>
  <si>
    <t>BBAAJ111141</t>
  </si>
  <si>
    <t>I214</t>
  </si>
  <si>
    <t>A-204</t>
  </si>
  <si>
    <t>COT INT</t>
  </si>
  <si>
    <t>OFICIALIA MAYOR</t>
  </si>
  <si>
    <t>1241-101-EQUIPO DE COMPUTO</t>
  </si>
  <si>
    <t>ESCRITORIO SEMIEJECUTIVO NEGRO/CEREZO</t>
  </si>
  <si>
    <t>F-998</t>
  </si>
  <si>
    <t>MESA DE PINO</t>
  </si>
  <si>
    <t>OP 519001</t>
  </si>
  <si>
    <t>MOSTRADOR RECEPCION DE MADERA</t>
  </si>
  <si>
    <t>0P 33897</t>
  </si>
  <si>
    <t>MESA METALICA CON RUEDAS</t>
  </si>
  <si>
    <t>1241-105 TELEFONO, CELULAR</t>
  </si>
  <si>
    <t>TELEFONO CONMUTADOR NEGRO NORTEL</t>
  </si>
  <si>
    <t>1241-106-ANAQUELES,REPISAS,LIBREROS</t>
  </si>
  <si>
    <t>PORTAPAPELES GRIS</t>
  </si>
  <si>
    <t>REPISA MADERA</t>
  </si>
  <si>
    <t>SILLA SECRETARIAL</t>
  </si>
  <si>
    <t>SILLA SECRETARIAL ALTA GRIS</t>
  </si>
  <si>
    <t>MESES DE USO AL 31 DE MAYO DE 2015</t>
  </si>
  <si>
    <t>% DE USO AL 31 DE MAYO DE 2015</t>
  </si>
  <si>
    <t>DEPRECIACIÓN MENSUAL PARA JUNIO A DICIEMBRE 2015</t>
  </si>
  <si>
    <t>FECHA DE TÉRMINO DE DEPRECIACIÓN</t>
  </si>
  <si>
    <t>MESES RESTANTES A DEPRECIAR AL</t>
  </si>
  <si>
    <t>MESES RESTANTES DE USO (DEPRECIARSE AL 100%) A PARTIR DEL</t>
  </si>
  <si>
    <t>DEP'N. JUNIO A DICIEMBRE 2015.</t>
  </si>
  <si>
    <r>
      <t xml:space="preserve">VIDA ÚTIL                                                                           </t>
    </r>
    <r>
      <rPr>
        <b/>
        <sz val="8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(PARÁMETROS DE VIDA ÚTIL PUBLICADO EN EL DOF 15/AGOSTO/2012)</t>
    </r>
  </si>
  <si>
    <t xml:space="preserve">% MENSUAL A DEPRECIARSE POR MES </t>
  </si>
  <si>
    <t xml:space="preserve">% DE USO RESTANTE A DEPRECIAR </t>
  </si>
  <si>
    <t>% DE USO RESTANTE PARA DEPRECIAR EN 2015</t>
  </si>
  <si>
    <t>DEPRECIACIÓN MENSUAL ACTUALIZADA</t>
  </si>
  <si>
    <t>PRESIDENCIA</t>
  </si>
  <si>
    <t>COMPUTADORA NEGRA ACER</t>
  </si>
  <si>
    <t xml:space="preserve">1241-MOBILIARIO Y EQUIPO DE ADMINISTRACIÓN </t>
  </si>
  <si>
    <t>ARCHIVERO, 4 GAVETAS, METÁLICO</t>
  </si>
  <si>
    <t>VENTILADOR DE PEDESTAL, BLANCO, STAR</t>
  </si>
  <si>
    <t>1246-MAQUINARIA, HERRAMIENTAS Y OTROS EQUIPOS</t>
  </si>
  <si>
    <t>1246-003-TERMOS</t>
  </si>
  <si>
    <t>3 TERMOS, 5 GALONES COLOR NARANJA</t>
  </si>
  <si>
    <t>AJ-101836</t>
  </si>
  <si>
    <t>ESCRITORIO TRIPLAY CAFÉ</t>
  </si>
  <si>
    <t>F-1731</t>
  </si>
  <si>
    <t>F-2085</t>
  </si>
  <si>
    <t>F-169635</t>
  </si>
  <si>
    <t>F-19635</t>
  </si>
  <si>
    <t>F-3628422</t>
  </si>
  <si>
    <t>PANTALLA NEGRO LENOVO</t>
  </si>
  <si>
    <t>ANAQUELES</t>
  </si>
  <si>
    <t>1241-106-101-026-01</t>
  </si>
  <si>
    <t xml:space="preserve">2 ANAQUELES CAFÉ </t>
  </si>
  <si>
    <t>VENTILADOR NEGRO VENCOOL</t>
  </si>
  <si>
    <t>ASPIRADORA BLANCA CON ROJO KOBLENZ</t>
  </si>
  <si>
    <t>DVD NEGRO PHILIPS</t>
  </si>
  <si>
    <t>BBAAJ-79375</t>
  </si>
  <si>
    <t>F-8627</t>
  </si>
  <si>
    <t>1241-105-TELÉFONO</t>
  </si>
  <si>
    <t>TELÉFONO DIGITAL, NEGRO, MERIDIAM, M-7100</t>
  </si>
  <si>
    <t>5.00 SUPRESOR TRIPP-LITTE PICOS</t>
  </si>
  <si>
    <t>FECHA DE ACTUALIZACIÓN</t>
  </si>
  <si>
    <t>POSE-133787</t>
  </si>
  <si>
    <t>BAJA POR EXTRAVÍO SEGÚN OFICIO NÚMERO 0041/2015</t>
  </si>
  <si>
    <t>PROMOCIÓN ECONÓMICA</t>
  </si>
  <si>
    <t>DEPRECIACIÓN ACUMULADA MIENTRAS SE REALIZABA EL PROCESO DE ACTUALIZACIÓN: REGISTRAR EN EL MES DE JUNIO 2015</t>
  </si>
  <si>
    <t>DEP. ACUMULADA AL 31 DE MAYO 2015</t>
  </si>
  <si>
    <t>DEP. MENSUAL 2014</t>
  </si>
  <si>
    <t>DESARROLLO RURAL</t>
  </si>
  <si>
    <t>F-168457</t>
  </si>
  <si>
    <t>CL0901</t>
  </si>
  <si>
    <t>ECOLOGÍA</t>
  </si>
  <si>
    <t>FV0098</t>
  </si>
  <si>
    <t>F/1986473</t>
  </si>
  <si>
    <t>LAP-TOP ACER NEGRA</t>
  </si>
  <si>
    <t>ESCRITORIO DE FORMAICA GRIS</t>
  </si>
  <si>
    <t>ESCRITORIO CON CRISTAL, 8 CAJONES GRIS</t>
  </si>
  <si>
    <t>TELÉFONO NORTEL NEGRO</t>
  </si>
  <si>
    <t>ESTANTE NEGRO 4 ENTRE PAÑOS</t>
  </si>
  <si>
    <t>ESTANTE NEGRO 2 ENTRE PAÑOS</t>
  </si>
  <si>
    <t>SILLA SECRETARIAL NEGRA</t>
  </si>
  <si>
    <t>ARCHIVERO METÁLICO CON GAVETERO GRIS</t>
  </si>
  <si>
    <t>FOTOCOPIADORA, COLOR BLANCO, WORK CENTER</t>
  </si>
  <si>
    <t>VENTILADOR LASKO BLANCO</t>
  </si>
  <si>
    <t>IMPRESORA HP BLANCA</t>
  </si>
  <si>
    <t>LLAVE PROGRAMA OPUS NEGRA</t>
  </si>
  <si>
    <t>PERFORADORA DE 3 NEGRA</t>
  </si>
  <si>
    <t>PERFORADORA DE 2 ACME LAMUSA NEGRA</t>
  </si>
  <si>
    <t>PERFORADORA DE 2 USO RUDO SWUINGLINE</t>
  </si>
  <si>
    <t>PERFORADORA DE 4 NEGRA</t>
  </si>
  <si>
    <t>1241-141-FOTOGRAFÍA AEREA DEL MUNICIPIO</t>
  </si>
  <si>
    <t>1241-141-101-042-01</t>
  </si>
  <si>
    <t>DEPRECIACIÓN EJERCICIO 2014</t>
  </si>
  <si>
    <t>VALOR DEL BIEN AL 01 DE ENERO DE 2015</t>
  </si>
  <si>
    <t>DEPRECIACIÓN ACUMULADA DEL 01 DE ENERO AL 31 DE MAYO 2015</t>
  </si>
  <si>
    <t>DEP'N. ACUMULADA JUNIO A DICIEMBRE</t>
  </si>
  <si>
    <t>VALOR DEL BIEN AL 31 DE MAYO DE 2015</t>
  </si>
  <si>
    <t>INSTITUTO DE LA MUJER</t>
  </si>
  <si>
    <t>VENTILADOR DE PEDESTAL 20"</t>
  </si>
  <si>
    <t>F-7258</t>
  </si>
  <si>
    <t>F-78A</t>
  </si>
  <si>
    <t>DIRECCIÓN DE CATASTRO MUNICIPAL</t>
  </si>
  <si>
    <t>REGULADOR APC</t>
  </si>
  <si>
    <t>ESCRITORIO METÁLICO GRIS/MADERA</t>
  </si>
  <si>
    <t>MÁQUINA DE ESCRIBIR ELÉCTRICA OLYMPIA</t>
  </si>
  <si>
    <t>7 DEPÓSITOS PARA BASURA</t>
  </si>
  <si>
    <t>1241-103-CÁMARAS FOTOGRÁFICAS</t>
  </si>
  <si>
    <t>1241-102-101-050-02</t>
  </si>
  <si>
    <t>CÁMARA CANON POWER SHOT, COLOR PLATA</t>
  </si>
  <si>
    <t>F-176063</t>
  </si>
  <si>
    <t>TRAILERS DE AYUDA</t>
  </si>
  <si>
    <t>1243-EQUIPO E INSTRUMENTAL MÉDICO Y DE LABORATORIO</t>
  </si>
  <si>
    <t>1243-001-101</t>
  </si>
  <si>
    <t>4 CAMAS DE HOSPITAL ELÉCTRICAS</t>
  </si>
  <si>
    <t>1243-002-101</t>
  </si>
  <si>
    <t>EQUIPO DE ULTRASONIDO</t>
  </si>
  <si>
    <t>REFRIGERADOR PARA VACUNAS</t>
  </si>
  <si>
    <t>CONV. DE COLAB.</t>
  </si>
  <si>
    <t>1243-004-101</t>
  </si>
  <si>
    <t>CUNA DE CALOR RADIANTE</t>
  </si>
  <si>
    <t>1243-005-101</t>
  </si>
  <si>
    <t>BOMBA DE INFUSIÓN</t>
  </si>
  <si>
    <t>1243-006-101</t>
  </si>
  <si>
    <t>1243-003-101</t>
  </si>
  <si>
    <t>2 SILLAS DE TRASLADO DE PACIENTES</t>
  </si>
  <si>
    <t>1243-007-101</t>
  </si>
  <si>
    <t>MONITOR FETAL CON TOCOCARDIÓGRAFO</t>
  </si>
  <si>
    <t>1243-008-101</t>
  </si>
  <si>
    <t>SILLÓN DE USOS MÚLTIPLES</t>
  </si>
  <si>
    <t>1244-EQUIPO DE TRANSPORTE</t>
  </si>
  <si>
    <t>1244-002-101</t>
  </si>
  <si>
    <t>1246-006-007</t>
  </si>
  <si>
    <t>1246-006-101</t>
  </si>
  <si>
    <t>1246-007-101</t>
  </si>
  <si>
    <t>RETROEXCAVADORA, VOLVO, AMARILLO, 2002</t>
  </si>
  <si>
    <t>CAMIÓN DE VOLTEO DE 6M3, 1999, STERLING, BLANCO</t>
  </si>
  <si>
    <t>CAMIÓN ESCOLAR, AMARILLO, INTERNATIONAL, 2002</t>
  </si>
  <si>
    <t>DIRECCIÓN DE PLANEACIÓN, PROGRAMACIÓN Y PRESUPUESTOS</t>
  </si>
  <si>
    <t>1241- MOBILIARIO Y EQUIÓ DE ADMINISTRACIÓN</t>
  </si>
  <si>
    <t>1241-103-101-025-01</t>
  </si>
  <si>
    <t>ESCRITORIO CARÉ/NEGRO, SIN MARCA</t>
  </si>
  <si>
    <t>1241-107-SILLA SECRETARIALES</t>
  </si>
  <si>
    <t>1241-107-101-025-01</t>
  </si>
  <si>
    <t>SILLA EJECUTIVA, GRIS, SIN MARCA</t>
  </si>
  <si>
    <t>ARCHIVERO 2 GAVETAS, NEGRO, SIN MODELO</t>
  </si>
  <si>
    <t>1241-112- SCANNERS</t>
  </si>
  <si>
    <t>1241-112-101-025-01</t>
  </si>
  <si>
    <t>SCANNER HP SCANJET G2410</t>
  </si>
  <si>
    <t>POSE/133787</t>
  </si>
  <si>
    <t>MESA, COLOR CAFÉ, SIN MARCA</t>
  </si>
  <si>
    <t>1293-103-ESCRITORIOS, MESAS</t>
  </si>
  <si>
    <t>1293- MOBILIARIO Y EQUIÓ DE ADMINISTRACIÓN</t>
  </si>
  <si>
    <t>1293-103-101-007-01</t>
  </si>
  <si>
    <t>1241-110-101-007-01</t>
  </si>
  <si>
    <t>ARCHIVERO, COLOR PLOMO, SIN MARCA</t>
  </si>
  <si>
    <t>DIRECCIÓN DE PARTICIPACIÓN CIUDADANA</t>
  </si>
  <si>
    <t>PARTICIPACIÓN CIUDADANA</t>
  </si>
  <si>
    <t>JUZGADO MUNICIPAL</t>
  </si>
  <si>
    <t>1241-115-101-040-01</t>
  </si>
  <si>
    <t>IMPRESORA HP OFFICEJET 4500 DESKTOP</t>
  </si>
  <si>
    <t>1241-101 EQUIPO DE CÓMPUTO</t>
  </si>
  <si>
    <t>1241-101-101-040-01</t>
  </si>
  <si>
    <t>CPU</t>
  </si>
  <si>
    <t>TECLADO OFFICE KEYBOARD</t>
  </si>
  <si>
    <t>MONITOR SAMSUNG</t>
  </si>
  <si>
    <t>VENTILADOR DE PISO 20", ASPAS DE FIERRO</t>
  </si>
  <si>
    <t>A23016</t>
  </si>
  <si>
    <t>A22892</t>
  </si>
  <si>
    <t>COMPUTADORA J5U41LA</t>
  </si>
  <si>
    <t>ADG1978347</t>
  </si>
  <si>
    <t>1241-115-MULTIFUNCIONAL</t>
  </si>
  <si>
    <t>1241-115-101-002-01</t>
  </si>
  <si>
    <t>MULTIFUNCIONAL SAMSUNG SCX3405 MONOC</t>
  </si>
  <si>
    <t>POSE/26612303</t>
  </si>
  <si>
    <t>1241-107-101-009-01</t>
  </si>
  <si>
    <t>2 SILLAS SECRETARIALES PANAMA</t>
  </si>
  <si>
    <t>MESA PLEGABLES</t>
  </si>
  <si>
    <t>1241-144-MESAS</t>
  </si>
  <si>
    <t>1241-144-101-003-01</t>
  </si>
  <si>
    <t>2 MESAS PLEGABLES DOS EN 1, BLANCAS</t>
  </si>
  <si>
    <t>BBAAJ-146824</t>
  </si>
  <si>
    <t>POSE26039527</t>
  </si>
  <si>
    <t>INSTITUTO DE LA JUVENTUD</t>
  </si>
  <si>
    <t>1241-101-101-077-01</t>
  </si>
  <si>
    <t>LAPTOP ACER E5-573-PBE3, BLANCA, N15Q1</t>
  </si>
  <si>
    <t>POSE/27256941</t>
  </si>
  <si>
    <t>1241- MOBILIARIO Y EQUIPO DE ADMINISTRACIÓN</t>
  </si>
  <si>
    <t>MULTI HP OFFICE JETPRO X 476</t>
  </si>
  <si>
    <t>POSE/27257043</t>
  </si>
  <si>
    <t>1241-115-101-021-01</t>
  </si>
  <si>
    <t>MULTIFUNCIONAL HP JETPRO 8610</t>
  </si>
  <si>
    <t>1241-115-101-004-01</t>
  </si>
  <si>
    <t>HP LASER JET P1102</t>
  </si>
  <si>
    <t>SINDICATURA MUNICIPAL</t>
  </si>
  <si>
    <t>TELÉFONO ALÁMBRICO</t>
  </si>
  <si>
    <t>POSE/27219846</t>
  </si>
  <si>
    <t>1241-101-101-002-01</t>
  </si>
  <si>
    <t>LAP TOP HP CP 14-AC112LA</t>
  </si>
  <si>
    <t>POSE/27257318</t>
  </si>
  <si>
    <t>1241-145-101-005-01</t>
  </si>
  <si>
    <t>RELOJ CHECADOR FACIAL</t>
  </si>
  <si>
    <t>1241-RELOJ CHECADOR FACIAL</t>
  </si>
  <si>
    <t>1241-145- RELOJ CHECADOR FACIAL</t>
  </si>
  <si>
    <t>CONTRALORIA</t>
  </si>
  <si>
    <t>ADMINISTRACIÓN 2015-2018</t>
  </si>
  <si>
    <t>1241-107-101-074-01</t>
  </si>
  <si>
    <t>SILLA EJECUTIVA MADRID</t>
  </si>
  <si>
    <t>DEP. MENSUAL 2015</t>
  </si>
  <si>
    <t>3 SILLA EJECUTIVA MADRID</t>
  </si>
  <si>
    <t>2SILLA EJECUTIVA MOSCU</t>
  </si>
  <si>
    <t>1241-107-101-038-01</t>
  </si>
  <si>
    <t>1 SILLA EJECUTIVA MADRID</t>
  </si>
  <si>
    <t>1241-107-101-040-01</t>
  </si>
  <si>
    <t>1241-107-101-006-01</t>
  </si>
  <si>
    <t>1241-107-101-050-01</t>
  </si>
  <si>
    <t>1241-107-101-077-01</t>
  </si>
  <si>
    <t>1241-107-101-004-01</t>
  </si>
  <si>
    <t>2 SILLA EJECUTIVA MADRID</t>
  </si>
  <si>
    <t>DESARROLLO ECONOMICO</t>
  </si>
  <si>
    <t>1241-107-101-072-01</t>
  </si>
  <si>
    <t>DESARROLLO SOCIAL</t>
  </si>
  <si>
    <t>1241-107-101-073-01</t>
  </si>
  <si>
    <t>CONMUTADOR</t>
  </si>
  <si>
    <t>12 SILLA EJECUTIVA MADRID</t>
  </si>
  <si>
    <t>SALA DE REGIDORES</t>
  </si>
  <si>
    <t>VENTILADOR GRIS MITEK</t>
  </si>
  <si>
    <t>A26155</t>
  </si>
  <si>
    <t>1241-113-101-021-01</t>
  </si>
  <si>
    <t>CAMARA NEGRA CANON</t>
  </si>
  <si>
    <t>LWAY24047</t>
  </si>
  <si>
    <t>1241-102-101-050-01</t>
  </si>
  <si>
    <t>CAMARA SONY</t>
  </si>
  <si>
    <t>1241-105-101-072-01</t>
  </si>
  <si>
    <t>UBR</t>
  </si>
  <si>
    <t>BBAAJ-146825</t>
  </si>
  <si>
    <t>telefono panasonic</t>
  </si>
  <si>
    <t>telefono negro v tech</t>
  </si>
  <si>
    <t>ESCALERA DE TIJERA</t>
  </si>
  <si>
    <t>1246-002-101-011-01-01-01</t>
  </si>
  <si>
    <t>1246-002-HERRAMIENTAS</t>
  </si>
  <si>
    <t>5 EXHIBIDORES DE MADERA Y CRISTAL</t>
  </si>
  <si>
    <t>EQUIPO DE SONIDO: 8 BASES TRIPIE, 12 MICROFONOS ALAMBRICOS, 4 MICROFONOS INALAMBRICOS, 12 EXTENSIONES DE 9 MTS, 12 PEDESTALES PARA MICROFONO PARA PISO, 1 CONSOLA DE 24 CH, 8 BAFLES PASIVOS 2 VIAS, 10 EXTENSIONES DE 10 MTS, 2 CABLE AMERICAN CABLE PARCHEO XLR-XLR 90 CM,  2 CABLE AMERICAN CABLE PARCHEO PLUG-PLUG 90 CM,1 AMPLIFICADOR PODER DE 1100 WATTS, 1 AMPLIFICADOR PODER DE 700 WATTS</t>
  </si>
  <si>
    <t>1242-004-101-011-01-01-01</t>
  </si>
  <si>
    <t>1242-004-EQUIPO DE SONIDO CASA DE L CULTURA</t>
  </si>
  <si>
    <t>11 GUITARRAS</t>
  </si>
  <si>
    <t>1242-001-101-011-01-011/011</t>
  </si>
  <si>
    <t>1242-001-BANDA MUSICA CASA DE LA CULTURA</t>
  </si>
  <si>
    <t>CUADRO DE REPUJADO EN MARCO</t>
  </si>
  <si>
    <t>1242-146-01-011-01-01-01</t>
  </si>
  <si>
    <t>CUADRO DE PIHUAMO EN DIFERENTES TIPOS DE MADERA</t>
  </si>
  <si>
    <t>1241-146-101-011-01-01-01</t>
  </si>
  <si>
    <t>PINTURA EN MARCO</t>
  </si>
  <si>
    <t>1241-146-101-011-01-02-04</t>
  </si>
  <si>
    <t>1241-146-101-011-01-04-04</t>
  </si>
  <si>
    <t>ESPEJO GRANDE CON MARCO DE MADERA</t>
  </si>
  <si>
    <t>3 FOTOGRAFIAS EN MARCO</t>
  </si>
  <si>
    <t>1241-146-101-011-01-03-03</t>
  </si>
  <si>
    <t>1241-146-PINTURA CASA DE CULTURA</t>
  </si>
  <si>
    <t>PROYECTOR</t>
  </si>
  <si>
    <t>1241-123-101-011-01</t>
  </si>
  <si>
    <t>1241-123 PROYECTOR</t>
  </si>
  <si>
    <t>IMPRESORA BLANCO/NEGRO</t>
  </si>
  <si>
    <t>1241-115-101-011-01-01</t>
  </si>
  <si>
    <t>SILLA EJECUTIVA MOSCU</t>
  </si>
  <si>
    <t>1241-107-101-011-01</t>
  </si>
  <si>
    <t>2 VENTILADORES REDONDOS</t>
  </si>
  <si>
    <t>1241-113-101-011-01-02/02</t>
  </si>
  <si>
    <t>ARCHIVERO METALICO</t>
  </si>
  <si>
    <t>1241-110-101-011-01-01-02</t>
  </si>
  <si>
    <t>ARCHIVERO DE METAL</t>
  </si>
  <si>
    <t>1241-110-101-011-01-02-02</t>
  </si>
  <si>
    <t>2 MANIQUI DE FIERRO</t>
  </si>
  <si>
    <t>1241-109-101-011-01-011/011</t>
  </si>
  <si>
    <t>PORTA GARRAFONES</t>
  </si>
  <si>
    <t>1241-109-101-011-01-01-01</t>
  </si>
  <si>
    <t>1241-109-BASES METALICAS</t>
  </si>
  <si>
    <t>BANCOS DE MADERA</t>
  </si>
  <si>
    <t>1241-107-101-011-01-02-02</t>
  </si>
  <si>
    <t>ANAQUEL DE FIERRO 5 DIVISIONES</t>
  </si>
  <si>
    <t>1241-106-101-011-01-01-01</t>
  </si>
  <si>
    <t>PORTA BANDERA DE MADERA</t>
  </si>
  <si>
    <t>PORTA GUITARRA DE MADERA</t>
  </si>
  <si>
    <t>8 CABALLETES DE MADERA</t>
  </si>
  <si>
    <t>1241-106-101-011-01-08/08</t>
  </si>
  <si>
    <t>2 ESCRITORIOS DE METAL Y MADERA</t>
  </si>
  <si>
    <t>1241-103-101-011-01-02-02</t>
  </si>
  <si>
    <t>ESCRITORIO DE MADERA PARA COMPUTADORA</t>
  </si>
  <si>
    <t>1241-103-101-011-01-02-03</t>
  </si>
  <si>
    <t>MESA DE FIERRO</t>
  </si>
  <si>
    <t>1241-103-101-011-01-01-01</t>
  </si>
  <si>
    <t>5 MESAS DE MADERA</t>
  </si>
  <si>
    <t>1241-103-101-011-01-06/06</t>
  </si>
  <si>
    <t>1241-103 ESCRITORIOS, MESAS</t>
  </si>
  <si>
    <t>1241-MOBILIARIO Y EQUIPO DE ADMINISTRACION</t>
  </si>
  <si>
    <t>MONITOR NEGRO, SAMSUNG</t>
  </si>
  <si>
    <t>1241-101-101-011-01</t>
  </si>
  <si>
    <t>TERRENOS</t>
  </si>
  <si>
    <t>TANQUE LESA, PLANTA POTABILIZADORA  Y ANTENA REPETIDORA</t>
  </si>
  <si>
    <t>"RASTRO MUNICIPAL" PUENTE LA VIRGENCITA</t>
  </si>
  <si>
    <t>PREDIO LOS TOROS</t>
  </si>
  <si>
    <t>COLONIA HUIZACHITOS II</t>
  </si>
  <si>
    <t>COLONIA HUIZACHITOS I</t>
  </si>
  <si>
    <t>TELESECUNDARIA MELCHOR OCAMPO SAN JOSE DEL TULE</t>
  </si>
  <si>
    <t>CALLES Y VIALIDADES COLONIA MAGISTERIAL</t>
  </si>
  <si>
    <t>CALLE DIEGO RIVERA COLONIA LOS MANGUITOS</t>
  </si>
  <si>
    <t>CALLES Y VIALIDADES COLONIA SANTA CECILIA</t>
  </si>
  <si>
    <t>1231 TERRENOS</t>
  </si>
  <si>
    <t>BIENES INMUEBLES</t>
  </si>
  <si>
    <t>UNIDAD MUNICIPAL DE PROTECCION CIVIL</t>
  </si>
  <si>
    <t>1231-008-000</t>
  </si>
  <si>
    <t>UNIDAD DEPORTIVA ENRIQUE SOLORZANO GARCIA Y BALNEARIO MUNICIPAL</t>
  </si>
  <si>
    <t>TANQUE IMSS</t>
  </si>
  <si>
    <t>TANQUE CONCEPCION MONTES</t>
  </si>
  <si>
    <t>RELLENO SANITARIO MUNICIPAL</t>
  </si>
  <si>
    <t>1231-002-000</t>
  </si>
  <si>
    <t>UNIDAD BASICA DE REHABILITACION DE TERAPIA FISICA</t>
  </si>
  <si>
    <t>PORTAL LOPEZ COTILLA</t>
  </si>
  <si>
    <t>1234-159-000</t>
  </si>
  <si>
    <t>PORTAL INDEPENDENCIA</t>
  </si>
  <si>
    <t>1234-158-000</t>
  </si>
  <si>
    <t>PORTAL HIDALGO (ARRIBA)</t>
  </si>
  <si>
    <t>1234-157-000</t>
  </si>
  <si>
    <t>PORTAL HIDALGO (PORTAL DE ABAJO)</t>
  </si>
  <si>
    <t>1234-156-000</t>
  </si>
  <si>
    <t>PLAZA DE TOROS MANUEL CAPETILLO</t>
  </si>
  <si>
    <t>1234-155-000</t>
  </si>
  <si>
    <t>PALACIO MUNICIPAL</t>
  </si>
  <si>
    <t>1234-154-000</t>
  </si>
  <si>
    <t>JARDIN INDEPENDENCIA</t>
  </si>
  <si>
    <t>1234-153-000</t>
  </si>
  <si>
    <t>JARDIN HIDALGO</t>
  </si>
  <si>
    <t>1234-152-000</t>
  </si>
  <si>
    <t>1234-151-000</t>
  </si>
  <si>
    <t>ESTACIONAMIENTO Y ACCESO AL PANTEON MUNICIPAL</t>
  </si>
  <si>
    <t>1234-150-000</t>
  </si>
  <si>
    <t>PANTEON MUNICIPAL</t>
  </si>
  <si>
    <t>1234-149-000</t>
  </si>
  <si>
    <t>OFICINAS ALTERNAS AL PALACIO MUNICIPAL</t>
  </si>
  <si>
    <t>1234-148-000</t>
  </si>
  <si>
    <t>MERCADO MUNICIPAL</t>
  </si>
  <si>
    <t>1234-147-000</t>
  </si>
  <si>
    <t>DIF</t>
  </si>
  <si>
    <t>1234-146-000</t>
  </si>
  <si>
    <t>1234-145-000</t>
  </si>
  <si>
    <t>AUDITORIO DEPORTIVO MUNICIPAL EL CHAMIZAL</t>
  </si>
  <si>
    <t>1234-144-000</t>
  </si>
  <si>
    <t>1234 INFRAESTRUCTURA</t>
  </si>
  <si>
    <t>DEP. MENSUAL PARA 2015</t>
  </si>
  <si>
    <t>DEPRECIACIÓN EJERCICIO 31 MAYO 2015</t>
  </si>
  <si>
    <t>FECHA DE REVALUACIÓN</t>
  </si>
  <si>
    <t xml:space="preserve">BIENES INMUEBLES </t>
  </si>
  <si>
    <t>TRACTO CAMION AMARILLO KOMATSU</t>
  </si>
  <si>
    <t>PICK UP ROJO</t>
  </si>
  <si>
    <t>1244-005-101</t>
  </si>
  <si>
    <t>AUTOBUS ESCOLAR AMARILLLO MOD 1987</t>
  </si>
  <si>
    <t>1244-010-101</t>
  </si>
  <si>
    <t>AUTOBUS ESCOLAR AMARILLLO MOD 1994</t>
  </si>
  <si>
    <t>?</t>
  </si>
  <si>
    <t>SUBURBAN TIPO C</t>
  </si>
  <si>
    <t>CAMIONETA FORD</t>
  </si>
  <si>
    <t>CHEVROLET SILVERADO</t>
  </si>
  <si>
    <t xml:space="preserve">PICK UP FORD </t>
  </si>
  <si>
    <t>1244-013-101</t>
  </si>
  <si>
    <t>URVAN BLANCO NISSAN</t>
  </si>
  <si>
    <t>PICK UP NISSAN</t>
  </si>
  <si>
    <t>1244-007-101</t>
  </si>
  <si>
    <t>TSURU SEDAN NISSAN</t>
  </si>
  <si>
    <t>PICK UP NEGRO DODGE</t>
  </si>
  <si>
    <t>PICK  UP BLANCA NISSAN</t>
  </si>
  <si>
    <t>PICK UP BLANCA FORD</t>
  </si>
  <si>
    <t xml:space="preserve"> 1244-003-101</t>
  </si>
  <si>
    <t>RECOLECTOR-COMPACTADOR BLANCO</t>
  </si>
  <si>
    <t>TRACTO CAMION AMARILLO</t>
  </si>
  <si>
    <t>RETROEXCAVADORA AMARILLO</t>
  </si>
  <si>
    <t>1246-011-101</t>
  </si>
  <si>
    <t>CAMION BLANCO KODIAK</t>
  </si>
  <si>
    <t>1246-010-101</t>
  </si>
  <si>
    <t>1246- MAQUINARIA</t>
  </si>
  <si>
    <t>DEP'N. EJERC. JUNIO -NOV</t>
  </si>
  <si>
    <t>DEPRECIACIÓN DE ENERO A MAYO</t>
  </si>
  <si>
    <t xml:space="preserve">VALOR DEL BIEN AL 01 DE ENERO DE </t>
  </si>
  <si>
    <t>DEP'N. EJERC. JUNIO A DIC</t>
  </si>
  <si>
    <t>DEP A MAYO</t>
  </si>
  <si>
    <t>MESES DE USO AL 01/ENERO/2014</t>
  </si>
  <si>
    <t>REVALUACIÓN     01 DE ENERO 2014  AL     01  DE Julio DE 2016</t>
  </si>
  <si>
    <t>1246-009-101</t>
  </si>
  <si>
    <t>1246-MAQUINARIA</t>
  </si>
  <si>
    <t>1244-001-101</t>
  </si>
  <si>
    <t>1244-009-101</t>
  </si>
  <si>
    <t>1244-014-101</t>
  </si>
  <si>
    <t>1244-004-101</t>
  </si>
  <si>
    <t>1244-011-101</t>
  </si>
  <si>
    <t>1244-006-101</t>
  </si>
  <si>
    <t>1244-012-101</t>
  </si>
  <si>
    <t>A NOV  2015</t>
  </si>
  <si>
    <t>A DIC 2014</t>
  </si>
  <si>
    <t xml:space="preserve">DEP. MENSUAL </t>
  </si>
  <si>
    <t>VALOR DEL BIEN</t>
  </si>
  <si>
    <t>DEP'N.   ACUMULADA.</t>
  </si>
  <si>
    <t>DEPRECIACIÓN MENSUAL PARA JUNIO A DICIEMBRE 2014</t>
  </si>
  <si>
    <t>VALOR DEL BIEN AL 31 DE MAYO DE 2014</t>
  </si>
  <si>
    <t>DEP. ACUMULADA AL 31 DE MAYO 2014</t>
  </si>
  <si>
    <t>VALOR DEL BIEN AL 01 DE ENERO DE 2014</t>
  </si>
  <si>
    <t>DEPRECIACIÓN EJERCICIO 31 MAYO 2014</t>
  </si>
  <si>
    <t>% DE USO RESTANTE PARA DEPRECIAR EN 2014</t>
  </si>
  <si>
    <t>MESES DE USO AL 31 DE MAYO DE 2014</t>
  </si>
  <si>
    <t>% DE USO AL 31 DE MAYO DE 2014</t>
  </si>
  <si>
    <t>W</t>
  </si>
  <si>
    <t>MONTO A DEPRECIAR EN DICIEMBRE 2015 TOMANDO EN CUENTA LA ACTUALIZACIÓN QUE SE REALIZÓ AL PATRIMONIO</t>
  </si>
  <si>
    <t>1241-143-SILLAS PLEGABLES</t>
  </si>
  <si>
    <t>1241-143-101-011-01</t>
  </si>
  <si>
    <t>100 SILLAS PLEGABLES</t>
  </si>
  <si>
    <t>F-203</t>
  </si>
  <si>
    <t>1241-104 MICROFONO INALAMBRICO</t>
  </si>
  <si>
    <t>1241-104-101-011-01</t>
  </si>
  <si>
    <t>2 MICROFONOS INALAMBRICOS</t>
  </si>
  <si>
    <t>ENTRADA PRINCIPAL A PIHUAMO, JALISCO</t>
  </si>
  <si>
    <t>CUENTA CATASTRAL/ESCRA</t>
  </si>
  <si>
    <t>U003910</t>
  </si>
  <si>
    <t>U001638</t>
  </si>
  <si>
    <t>U003902</t>
  </si>
  <si>
    <t>U000108</t>
  </si>
  <si>
    <t>U002296</t>
  </si>
  <si>
    <t>R001063</t>
  </si>
  <si>
    <t>U003906</t>
  </si>
  <si>
    <t>U000131</t>
  </si>
  <si>
    <t>U003615</t>
  </si>
  <si>
    <t>U000127</t>
  </si>
  <si>
    <t>R001018</t>
  </si>
  <si>
    <t>U003905</t>
  </si>
  <si>
    <t>U003907</t>
  </si>
  <si>
    <t>U003908</t>
  </si>
  <si>
    <t>U003904</t>
  </si>
  <si>
    <t>1234-164-101</t>
  </si>
  <si>
    <t>U003936</t>
  </si>
  <si>
    <t>R001320</t>
  </si>
  <si>
    <t>1234-167-101</t>
  </si>
  <si>
    <t>CERT. PARC</t>
  </si>
  <si>
    <t>1234-162-101</t>
  </si>
  <si>
    <t>U003909</t>
  </si>
  <si>
    <t>1234-161-101</t>
  </si>
  <si>
    <t>1234-166-101</t>
  </si>
  <si>
    <t>R001440, R001441, U003913</t>
  </si>
  <si>
    <t>1234-163-101</t>
  </si>
  <si>
    <t>R000770</t>
  </si>
  <si>
    <t>CALLES Y AREAS DE DON. DE LA COL. PLUTARCO ELIAS CALLES</t>
  </si>
  <si>
    <t>CALLES Y AREAS DE DON. DE LA COL. LOS MANGUITOS</t>
  </si>
  <si>
    <t>1234-168-101</t>
  </si>
  <si>
    <t>U003876</t>
  </si>
  <si>
    <t>1234-169-101</t>
  </si>
  <si>
    <t>U003955</t>
  </si>
  <si>
    <t>VIALIDADES Y AREAS DE DON.DE LA COL. LOS COLORADOS</t>
  </si>
  <si>
    <t>1234-170-101</t>
  </si>
  <si>
    <t>U003806, U003807, U003808, U003809, U003810, U003811</t>
  </si>
  <si>
    <t>U001353</t>
  </si>
  <si>
    <t>1234-160-101</t>
  </si>
  <si>
    <t>U002307</t>
  </si>
  <si>
    <t>1234-171-101</t>
  </si>
  <si>
    <t>U002862</t>
  </si>
  <si>
    <t>1234-172-101</t>
  </si>
  <si>
    <t>U002992</t>
  </si>
  <si>
    <t>1234-113-101</t>
  </si>
  <si>
    <t>U003100</t>
  </si>
  <si>
    <t>CALLES VIALIDADES Y AREAS DE DONACION COL.OLINKA</t>
  </si>
  <si>
    <t>1234-174-101</t>
  </si>
  <si>
    <t>U002718</t>
  </si>
  <si>
    <t>1234-175-101</t>
  </si>
  <si>
    <t>U003952</t>
  </si>
  <si>
    <t>1231-002-101</t>
  </si>
  <si>
    <t>R001334</t>
  </si>
  <si>
    <t>1231-001-101</t>
  </si>
  <si>
    <t>1241-103-101-011-01</t>
  </si>
  <si>
    <t>1246-008.101</t>
  </si>
  <si>
    <t>1244--008-101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</si>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</sst>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[Red]\(#,##0.00\)"/>
    <numFmt numFmtId="165" formatCode="_(* #,##0.00_);_(* \(#,##0.00\);_(* &quot;-&quot;??_);_(@_)"/>
    <numFmt numFmtId="166" formatCode="0.0000"/>
    <numFmt numFmtId="167" formatCode="#,##0.0000"/>
    <numFmt numFmtId="168" formatCode="_(* #,##0_);_(* \(#,##0\);_(* &quot;-&quot;??_);_(@_)"/>
    <numFmt numFmtId="169" formatCode="#,##0.000"/>
    <numFmt numFmtId="170" formatCode="0.000"/>
    <numFmt numFmtId="171" formatCode="_(* #,##0.000_);_(* \(#,##0.000\);_(* &quot;-&quot;??_);_(@_)"/>
    <numFmt numFmtId="172" formatCode="_(* #,##0.0000_);_(* \(#,##0.0000\);_(* &quot;-&quot;??_);_(@_)"/>
    <numFmt numFmtId="173" formatCode="_(* #,##0.000000_);_(* \(#,##0.000000\);_(* &quot;-&quot;??_);_(@_)"/>
  </numFmts>
  <fonts count="34" x14ac:knownFonts="1">
    <font>
      <sz val="10"/>
      <name val="Arial"/>
    </font>
    <font>
      <sz val="8"/>
      <name val="Arial"/>
      <family val="2"/>
    </font>
    <font>
      <b/>
      <sz val="8"/>
      <name val="Arial Narrow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sz val="6"/>
      <color theme="1"/>
      <name val="Arial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"/>
      <family val="2"/>
    </font>
    <font>
      <i/>
      <sz val="10"/>
      <name val="Arial"/>
      <family val="2"/>
    </font>
    <font>
      <b/>
      <sz val="6"/>
      <color theme="1"/>
      <name val="Arial Narrow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u/>
      <sz val="8"/>
      <color theme="1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7"/>
      <color theme="0"/>
      <name val="Arial Narrow"/>
      <family val="2"/>
    </font>
    <font>
      <b/>
      <u/>
      <sz val="7"/>
      <name val="Arial"/>
      <family val="2"/>
    </font>
    <font>
      <sz val="10"/>
      <color theme="6" tint="-0.49998474074526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4" fillId="0" borderId="4" xfId="0" applyFont="1" applyBorder="1" applyAlignment="1">
      <alignment horizontal="left"/>
    </xf>
    <xf numFmtId="164" fontId="4" fillId="0" borderId="4" xfId="0" applyNumberFormat="1" applyFont="1" applyBorder="1"/>
    <xf numFmtId="4" fontId="4" fillId="0" borderId="4" xfId="0" applyNumberFormat="1" applyFont="1" applyBorder="1"/>
    <xf numFmtId="165" fontId="4" fillId="0" borderId="4" xfId="0" applyNumberFormat="1" applyFont="1" applyBorder="1"/>
    <xf numFmtId="166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7" fillId="0" borderId="0" xfId="0" applyFont="1"/>
    <xf numFmtId="165" fontId="0" fillId="0" borderId="0" xfId="0" applyNumberFormat="1"/>
    <xf numFmtId="164" fontId="4" fillId="0" borderId="4" xfId="0" applyNumberFormat="1" applyFont="1" applyFill="1" applyBorder="1"/>
    <xf numFmtId="4" fontId="4" fillId="0" borderId="4" xfId="0" applyNumberFormat="1" applyFont="1" applyFill="1" applyBorder="1"/>
    <xf numFmtId="165" fontId="4" fillId="0" borderId="4" xfId="0" applyNumberFormat="1" applyFont="1" applyFill="1" applyBorder="1"/>
    <xf numFmtId="166" fontId="4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4" borderId="0" xfId="0" applyFill="1"/>
    <xf numFmtId="0" fontId="4" fillId="0" borderId="4" xfId="0" applyNumberFormat="1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horizontal="center"/>
    </xf>
    <xf numFmtId="14" fontId="0" fillId="0" borderId="0" xfId="0" applyNumberFormat="1"/>
    <xf numFmtId="14" fontId="4" fillId="0" borderId="4" xfId="0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" fontId="9" fillId="5" borderId="4" xfId="0" applyNumberFormat="1" applyFont="1" applyFill="1" applyBorder="1"/>
    <xf numFmtId="165" fontId="9" fillId="5" borderId="4" xfId="0" applyNumberFormat="1" applyFont="1" applyFill="1" applyBorder="1"/>
    <xf numFmtId="166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9" fontId="4" fillId="0" borderId="4" xfId="0" applyNumberFormat="1" applyFont="1" applyFill="1" applyBorder="1" applyAlignment="1">
      <alignment horizontal="center"/>
    </xf>
    <xf numFmtId="166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4" fontId="9" fillId="0" borderId="4" xfId="0" applyNumberFormat="1" applyFont="1" applyFill="1" applyBorder="1"/>
    <xf numFmtId="0" fontId="9" fillId="0" borderId="4" xfId="0" applyFont="1" applyFill="1" applyBorder="1" applyAlignment="1">
      <alignment horizontal="center"/>
    </xf>
    <xf numFmtId="0" fontId="0" fillId="0" borderId="4" xfId="0" applyBorder="1"/>
    <xf numFmtId="0" fontId="6" fillId="0" borderId="4" xfId="0" applyFont="1" applyFill="1" applyBorder="1" applyAlignment="1">
      <alignment horizontal="left"/>
    </xf>
    <xf numFmtId="10" fontId="4" fillId="0" borderId="4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0" fontId="8" fillId="4" borderId="0" xfId="0" applyFont="1" applyFill="1" applyAlignment="1">
      <alignment horizontal="right"/>
    </xf>
    <xf numFmtId="0" fontId="0" fillId="0" borderId="4" xfId="0" applyFill="1" applyBorder="1"/>
    <xf numFmtId="14" fontId="4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168" fontId="4" fillId="0" borderId="4" xfId="0" applyNumberFormat="1" applyFont="1" applyFill="1" applyBorder="1"/>
    <xf numFmtId="0" fontId="7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0" fillId="0" borderId="0" xfId="0" applyFill="1" applyBorder="1"/>
    <xf numFmtId="14" fontId="4" fillId="8" borderId="4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left"/>
    </xf>
    <xf numFmtId="10" fontId="4" fillId="8" borderId="4" xfId="0" applyNumberFormat="1" applyFont="1" applyFill="1" applyBorder="1" applyAlignment="1">
      <alignment horizontal="center"/>
    </xf>
    <xf numFmtId="168" fontId="4" fillId="8" borderId="4" xfId="0" applyNumberFormat="1" applyFont="1" applyFill="1" applyBorder="1"/>
    <xf numFmtId="165" fontId="9" fillId="8" borderId="4" xfId="0" applyNumberFormat="1" applyFont="1" applyFill="1" applyBorder="1"/>
    <xf numFmtId="4" fontId="9" fillId="8" borderId="4" xfId="0" applyNumberFormat="1" applyFont="1" applyFill="1" applyBorder="1"/>
    <xf numFmtId="166" fontId="9" fillId="8" borderId="4" xfId="0" applyNumberFormat="1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0" fillId="8" borderId="0" xfId="0" applyFill="1"/>
    <xf numFmtId="164" fontId="4" fillId="8" borderId="4" xfId="0" applyNumberFormat="1" applyFont="1" applyFill="1" applyBorder="1"/>
    <xf numFmtId="14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/>
    <xf numFmtId="165" fontId="9" fillId="0" borderId="0" xfId="0" applyNumberFormat="1" applyFont="1" applyFill="1" applyBorder="1"/>
    <xf numFmtId="4" fontId="9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0" fillId="6" borderId="3" xfId="0" applyFont="1" applyFill="1" applyBorder="1" applyAlignment="1">
      <alignment horizontal="center" wrapText="1"/>
    </xf>
    <xf numFmtId="14" fontId="12" fillId="10" borderId="4" xfId="0" applyNumberFormat="1" applyFont="1" applyFill="1" applyBorder="1" applyAlignment="1">
      <alignment horizontal="center"/>
    </xf>
    <xf numFmtId="0" fontId="12" fillId="10" borderId="4" xfId="0" applyFont="1" applyFill="1" applyBorder="1" applyAlignment="1">
      <alignment horizontal="left"/>
    </xf>
    <xf numFmtId="164" fontId="12" fillId="10" borderId="4" xfId="0" applyNumberFormat="1" applyFont="1" applyFill="1" applyBorder="1"/>
    <xf numFmtId="0" fontId="12" fillId="1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14" fontId="12" fillId="0" borderId="4" xfId="0" applyNumberFormat="1" applyFont="1" applyFill="1" applyBorder="1" applyAlignment="1">
      <alignment horizontal="center"/>
    </xf>
    <xf numFmtId="164" fontId="12" fillId="0" borderId="4" xfId="0" applyNumberFormat="1" applyFont="1" applyFill="1" applyBorder="1"/>
    <xf numFmtId="0" fontId="12" fillId="0" borderId="4" xfId="0" applyNumberFormat="1" applyFont="1" applyFill="1" applyBorder="1" applyAlignment="1">
      <alignment horizontal="center"/>
    </xf>
    <xf numFmtId="10" fontId="12" fillId="0" borderId="4" xfId="0" applyNumberFormat="1" applyFont="1" applyFill="1" applyBorder="1" applyAlignment="1">
      <alignment horizontal="center"/>
    </xf>
    <xf numFmtId="14" fontId="4" fillId="10" borderId="4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left"/>
    </xf>
    <xf numFmtId="9" fontId="4" fillId="10" borderId="4" xfId="0" applyNumberFormat="1" applyFont="1" applyFill="1" applyBorder="1" applyAlignment="1">
      <alignment horizontal="center"/>
    </xf>
    <xf numFmtId="0" fontId="4" fillId="10" borderId="4" xfId="0" applyNumberFormat="1" applyFont="1" applyFill="1" applyBorder="1" applyAlignment="1">
      <alignment horizontal="center"/>
    </xf>
    <xf numFmtId="9" fontId="12" fillId="0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5" fontId="12" fillId="0" borderId="4" xfId="0" applyNumberFormat="1" applyFont="1" applyFill="1" applyBorder="1"/>
    <xf numFmtId="4" fontId="12" fillId="0" borderId="4" xfId="0" applyNumberFormat="1" applyFont="1" applyFill="1" applyBorder="1"/>
    <xf numFmtId="166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66" fontId="12" fillId="10" borderId="4" xfId="0" applyNumberFormat="1" applyFont="1" applyFill="1" applyBorder="1" applyAlignment="1">
      <alignment horizontal="center"/>
    </xf>
    <xf numFmtId="4" fontId="12" fillId="10" borderId="4" xfId="0" applyNumberFormat="1" applyFont="1" applyFill="1" applyBorder="1"/>
    <xf numFmtId="165" fontId="12" fillId="10" borderId="4" xfId="0" applyNumberFormat="1" applyFont="1" applyFill="1" applyBorder="1"/>
    <xf numFmtId="0" fontId="12" fillId="10" borderId="4" xfId="0" applyFont="1" applyFill="1" applyBorder="1" applyAlignment="1">
      <alignment horizontal="center"/>
    </xf>
    <xf numFmtId="165" fontId="1" fillId="0" borderId="4" xfId="0" applyNumberFormat="1" applyFont="1" applyFill="1" applyBorder="1"/>
    <xf numFmtId="4" fontId="1" fillId="0" borderId="4" xfId="0" applyNumberFormat="1" applyFont="1" applyFill="1" applyBorder="1"/>
    <xf numFmtId="166" fontId="1" fillId="0" borderId="4" xfId="0" applyNumberFormat="1" applyFont="1" applyFill="1" applyBorder="1" applyAlignment="1">
      <alignment horizontal="center"/>
    </xf>
    <xf numFmtId="165" fontId="11" fillId="0" borderId="4" xfId="0" applyNumberFormat="1" applyFont="1" applyFill="1" applyBorder="1"/>
    <xf numFmtId="166" fontId="11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0" fillId="6" borderId="2" xfId="0" applyFont="1" applyFill="1" applyBorder="1" applyAlignment="1">
      <alignment horizontal="right"/>
    </xf>
    <xf numFmtId="165" fontId="14" fillId="10" borderId="4" xfId="0" applyNumberFormat="1" applyFont="1" applyFill="1" applyBorder="1" applyAlignment="1">
      <alignment horizontal="right"/>
    </xf>
    <xf numFmtId="165" fontId="14" fillId="0" borderId="4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9" fontId="0" fillId="0" borderId="0" xfId="0" applyNumberFormat="1" applyFill="1" applyAlignment="1"/>
    <xf numFmtId="169" fontId="0" fillId="0" borderId="0" xfId="0" applyNumberFormat="1"/>
    <xf numFmtId="169" fontId="10" fillId="6" borderId="2" xfId="0" applyNumberFormat="1" applyFont="1" applyFill="1" applyBorder="1" applyAlignment="1">
      <alignment horizontal="center"/>
    </xf>
    <xf numFmtId="169" fontId="10" fillId="6" borderId="3" xfId="0" applyNumberFormat="1" applyFont="1" applyFill="1" applyBorder="1" applyAlignment="1">
      <alignment horizontal="center"/>
    </xf>
    <xf numFmtId="169" fontId="12" fillId="10" borderId="4" xfId="0" applyNumberFormat="1" applyFont="1" applyFill="1" applyBorder="1" applyAlignment="1">
      <alignment horizontal="center"/>
    </xf>
    <xf numFmtId="169" fontId="12" fillId="0" borderId="4" xfId="0" applyNumberFormat="1" applyFont="1" applyFill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69" fontId="1" fillId="0" borderId="4" xfId="0" applyNumberFormat="1" applyFont="1" applyFill="1" applyBorder="1" applyAlignment="1">
      <alignment horizontal="center"/>
    </xf>
    <xf numFmtId="169" fontId="11" fillId="0" borderId="4" xfId="0" applyNumberFormat="1" applyFont="1" applyFill="1" applyBorder="1" applyAlignment="1">
      <alignment horizontal="center"/>
    </xf>
    <xf numFmtId="169" fontId="12" fillId="0" borderId="5" xfId="0" applyNumberFormat="1" applyFont="1" applyFill="1" applyBorder="1" applyAlignment="1">
      <alignment horizontal="center"/>
    </xf>
    <xf numFmtId="169" fontId="7" fillId="0" borderId="0" xfId="0" applyNumberFormat="1" applyFont="1"/>
    <xf numFmtId="0" fontId="10" fillId="6" borderId="1" xfId="0" applyFont="1" applyFill="1" applyBorder="1" applyAlignment="1">
      <alignment horizontal="center" wrapText="1"/>
    </xf>
    <xf numFmtId="0" fontId="0" fillId="10" borderId="0" xfId="0" applyFill="1"/>
    <xf numFmtId="0" fontId="0" fillId="10" borderId="0" xfId="0" applyFill="1" applyAlignment="1">
      <alignment horizontal="center"/>
    </xf>
    <xf numFmtId="14" fontId="0" fillId="10" borderId="0" xfId="0" applyNumberFormat="1" applyFill="1"/>
    <xf numFmtId="0" fontId="7" fillId="10" borderId="0" xfId="0" applyFont="1" applyFill="1"/>
    <xf numFmtId="14" fontId="15" fillId="11" borderId="0" xfId="0" applyNumberFormat="1" applyFont="1" applyFill="1"/>
    <xf numFmtId="0" fontId="15" fillId="11" borderId="0" xfId="0" applyFont="1" applyFill="1"/>
    <xf numFmtId="0" fontId="15" fillId="11" borderId="0" xfId="0" applyFont="1" applyFill="1" applyAlignment="1">
      <alignment horizontal="center"/>
    </xf>
    <xf numFmtId="0" fontId="15" fillId="11" borderId="0" xfId="0" applyFont="1" applyFill="1" applyAlignment="1"/>
    <xf numFmtId="169" fontId="15" fillId="11" borderId="0" xfId="0" applyNumberFormat="1" applyFont="1" applyFill="1" applyAlignment="1"/>
    <xf numFmtId="0" fontId="15" fillId="11" borderId="0" xfId="0" applyFont="1" applyFill="1" applyAlignment="1">
      <alignment horizontal="right"/>
    </xf>
    <xf numFmtId="14" fontId="16" fillId="11" borderId="0" xfId="0" applyNumberFormat="1" applyFont="1" applyFill="1"/>
    <xf numFmtId="14" fontId="16" fillId="11" borderId="0" xfId="0" applyNumberFormat="1" applyFont="1" applyFill="1" applyAlignment="1">
      <alignment horizontal="center"/>
    </xf>
    <xf numFmtId="0" fontId="16" fillId="11" borderId="0" xfId="0" applyFont="1" applyFill="1"/>
    <xf numFmtId="0" fontId="1" fillId="0" borderId="4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4" fontId="15" fillId="11" borderId="0" xfId="0" applyNumberFormat="1" applyFont="1" applyFill="1"/>
    <xf numFmtId="4" fontId="16" fillId="11" borderId="0" xfId="0" applyNumberFormat="1" applyFont="1" applyFill="1"/>
    <xf numFmtId="4" fontId="0" fillId="0" borderId="0" xfId="0" applyNumberFormat="1" applyFill="1"/>
    <xf numFmtId="4" fontId="0" fillId="0" borderId="0" xfId="0" applyNumberFormat="1"/>
    <xf numFmtId="4" fontId="12" fillId="10" borderId="4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1" fillId="0" borderId="4" xfId="0" applyNumberFormat="1" applyFont="1" applyFill="1" applyBorder="1" applyAlignment="1">
      <alignment horizontal="right"/>
    </xf>
    <xf numFmtId="0" fontId="1" fillId="10" borderId="4" xfId="0" applyFont="1" applyFill="1" applyBorder="1" applyAlignment="1">
      <alignment horizontal="center"/>
    </xf>
    <xf numFmtId="0" fontId="7" fillId="10" borderId="0" xfId="0" applyFont="1" applyFill="1" applyBorder="1"/>
    <xf numFmtId="0" fontId="3" fillId="0" borderId="4" xfId="0" applyFont="1" applyFill="1" applyBorder="1" applyAlignment="1">
      <alignment horizontal="center"/>
    </xf>
    <xf numFmtId="169" fontId="5" fillId="0" borderId="4" xfId="0" applyNumberFormat="1" applyFont="1" applyBorder="1" applyAlignment="1">
      <alignment horizontal="center"/>
    </xf>
    <xf numFmtId="0" fontId="16" fillId="11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4" fontId="15" fillId="11" borderId="0" xfId="0" applyNumberFormat="1" applyFont="1" applyFill="1" applyAlignment="1">
      <alignment horizontal="right"/>
    </xf>
    <xf numFmtId="4" fontId="16" fillId="11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7" fillId="10" borderId="0" xfId="0" applyNumberFormat="1" applyFont="1" applyFill="1" applyAlignment="1">
      <alignment horizontal="right"/>
    </xf>
    <xf numFmtId="10" fontId="4" fillId="10" borderId="4" xfId="0" applyNumberFormat="1" applyFont="1" applyFill="1" applyBorder="1" applyAlignment="1">
      <alignment horizontal="center"/>
    </xf>
    <xf numFmtId="43" fontId="0" fillId="0" borderId="0" xfId="0" applyNumberFormat="1" applyFill="1"/>
    <xf numFmtId="4" fontId="4" fillId="0" borderId="4" xfId="0" applyNumberFormat="1" applyFont="1" applyBorder="1" applyAlignment="1">
      <alignment horizontal="right"/>
    </xf>
    <xf numFmtId="43" fontId="0" fillId="10" borderId="0" xfId="0" applyNumberFormat="1" applyFill="1"/>
    <xf numFmtId="14" fontId="1" fillId="0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4" fontId="4" fillId="1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14" fontId="9" fillId="6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/>
    </xf>
    <xf numFmtId="14" fontId="1" fillId="10" borderId="4" xfId="0" applyNumberFormat="1" applyFont="1" applyFill="1" applyBorder="1"/>
    <xf numFmtId="0" fontId="3" fillId="0" borderId="4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0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/>
    <xf numFmtId="4" fontId="1" fillId="0" borderId="4" xfId="0" applyNumberFormat="1" applyFont="1" applyFill="1" applyBorder="1" applyAlignment="1">
      <alignment horizontal="center"/>
    </xf>
    <xf numFmtId="9" fontId="1" fillId="0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/>
    <xf numFmtId="164" fontId="1" fillId="0" borderId="4" xfId="0" applyNumberFormat="1" applyFont="1" applyFill="1" applyBorder="1"/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69" fontId="0" fillId="0" borderId="4" xfId="0" applyNumberFormat="1" applyFill="1" applyBorder="1"/>
    <xf numFmtId="169" fontId="0" fillId="0" borderId="4" xfId="0" applyNumberFormat="1" applyBorder="1"/>
    <xf numFmtId="4" fontId="12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166" fontId="12" fillId="0" borderId="5" xfId="0" applyNumberFormat="1" applyFont="1" applyFill="1" applyBorder="1" applyAlignment="1">
      <alignment horizontal="center"/>
    </xf>
    <xf numFmtId="169" fontId="1" fillId="0" borderId="5" xfId="0" applyNumberFormat="1" applyFont="1" applyFill="1" applyBorder="1" applyAlignment="1">
      <alignment horizontal="center"/>
    </xf>
    <xf numFmtId="169" fontId="0" fillId="0" borderId="5" xfId="0" applyNumberFormat="1" applyBorder="1"/>
    <xf numFmtId="4" fontId="4" fillId="0" borderId="4" xfId="0" applyNumberFormat="1" applyFont="1" applyFill="1" applyBorder="1" applyAlignment="1"/>
    <xf numFmtId="0" fontId="0" fillId="0" borderId="4" xfId="0" applyNumberFormat="1" applyBorder="1"/>
    <xf numFmtId="4" fontId="1" fillId="0" borderId="4" xfId="0" applyNumberFormat="1" applyFont="1" applyFill="1" applyBorder="1" applyAlignment="1">
      <alignment vertical="center"/>
    </xf>
    <xf numFmtId="170" fontId="12" fillId="0" borderId="4" xfId="0" applyNumberFormat="1" applyFont="1" applyFill="1" applyBorder="1" applyAlignment="1">
      <alignment horizontal="center"/>
    </xf>
    <xf numFmtId="170" fontId="1" fillId="0" borderId="4" xfId="0" applyNumberFormat="1" applyFont="1" applyFill="1" applyBorder="1" applyAlignment="1">
      <alignment horizontal="center"/>
    </xf>
    <xf numFmtId="170" fontId="12" fillId="10" borderId="4" xfId="0" applyNumberFormat="1" applyFont="1" applyFill="1" applyBorder="1" applyAlignment="1">
      <alignment horizontal="center"/>
    </xf>
    <xf numFmtId="0" fontId="1" fillId="10" borderId="4" xfId="0" applyNumberFormat="1" applyFont="1" applyFill="1" applyBorder="1" applyAlignment="1">
      <alignment horizontal="center"/>
    </xf>
    <xf numFmtId="4" fontId="1" fillId="10" borderId="4" xfId="0" applyNumberFormat="1" applyFont="1" applyFill="1" applyBorder="1" applyAlignment="1">
      <alignment horizontal="right"/>
    </xf>
    <xf numFmtId="14" fontId="1" fillId="1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NumberFormat="1" applyFill="1" applyBorder="1"/>
    <xf numFmtId="2" fontId="4" fillId="0" borderId="4" xfId="0" applyNumberFormat="1" applyFont="1" applyFill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64" fontId="4" fillId="10" borderId="4" xfId="0" applyNumberFormat="1" applyFont="1" applyFill="1" applyBorder="1" applyAlignment="1">
      <alignment horizontal="right" vertical="center"/>
    </xf>
    <xf numFmtId="0" fontId="4" fillId="10" borderId="4" xfId="0" applyNumberFormat="1" applyFont="1" applyFill="1" applyBorder="1" applyAlignment="1">
      <alignment horizontal="center" vertical="center"/>
    </xf>
    <xf numFmtId="2" fontId="4" fillId="10" borderId="4" xfId="0" applyNumberFormat="1" applyFont="1" applyFill="1" applyBorder="1" applyAlignment="1">
      <alignment horizontal="right" vertical="center"/>
    </xf>
    <xf numFmtId="169" fontId="1" fillId="10" borderId="4" xfId="0" applyNumberFormat="1" applyFont="1" applyFill="1" applyBorder="1" applyAlignment="1">
      <alignment horizontal="center"/>
    </xf>
    <xf numFmtId="14" fontId="10" fillId="6" borderId="2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169" fontId="10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right"/>
    </xf>
    <xf numFmtId="14" fontId="16" fillId="5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/>
    </xf>
    <xf numFmtId="169" fontId="10" fillId="5" borderId="3" xfId="0" applyNumberFormat="1" applyFont="1" applyFill="1" applyBorder="1" applyAlignment="1">
      <alignment horizontal="center"/>
    </xf>
    <xf numFmtId="2" fontId="12" fillId="10" borderId="4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14" fontId="20" fillId="12" borderId="2" xfId="0" applyNumberFormat="1" applyFont="1" applyFill="1" applyBorder="1" applyAlignment="1">
      <alignment horizontal="center" vertical="center" wrapText="1"/>
    </xf>
    <xf numFmtId="14" fontId="12" fillId="12" borderId="3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/>
    </xf>
    <xf numFmtId="167" fontId="11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3" fillId="3" borderId="5" xfId="0" applyFont="1" applyFill="1" applyBorder="1" applyAlignment="1"/>
    <xf numFmtId="1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/>
    <xf numFmtId="0" fontId="0" fillId="0" borderId="0" xfId="0" applyNumberFormat="1"/>
    <xf numFmtId="0" fontId="1" fillId="15" borderId="4" xfId="0" applyFont="1" applyFill="1" applyBorder="1" applyAlignment="1">
      <alignment horizontal="left"/>
    </xf>
    <xf numFmtId="0" fontId="12" fillId="15" borderId="4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center"/>
    </xf>
    <xf numFmtId="9" fontId="4" fillId="15" borderId="4" xfId="0" applyNumberFormat="1" applyFont="1" applyFill="1" applyBorder="1" applyAlignment="1">
      <alignment horizontal="center"/>
    </xf>
    <xf numFmtId="0" fontId="4" fillId="15" borderId="4" xfId="0" applyNumberFormat="1" applyFont="1" applyFill="1" applyBorder="1" applyAlignment="1">
      <alignment horizontal="center"/>
    </xf>
    <xf numFmtId="14" fontId="4" fillId="15" borderId="4" xfId="0" applyNumberFormat="1" applyFont="1" applyFill="1" applyBorder="1" applyAlignment="1">
      <alignment horizontal="center"/>
    </xf>
    <xf numFmtId="164" fontId="4" fillId="15" borderId="4" xfId="0" applyNumberFormat="1" applyFont="1" applyFill="1" applyBorder="1"/>
    <xf numFmtId="0" fontId="1" fillId="15" borderId="4" xfId="0" applyNumberFormat="1" applyFont="1" applyFill="1" applyBorder="1" applyAlignment="1">
      <alignment horizontal="center"/>
    </xf>
    <xf numFmtId="4" fontId="12" fillId="15" borderId="4" xfId="0" applyNumberFormat="1" applyFont="1" applyFill="1" applyBorder="1" applyAlignment="1">
      <alignment horizontal="right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24" fillId="12" borderId="3" xfId="0" applyNumberFormat="1" applyFont="1" applyFill="1" applyBorder="1" applyAlignment="1">
      <alignment horizontal="center" vertical="center" wrapText="1"/>
    </xf>
    <xf numFmtId="14" fontId="21" fillId="12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10" fillId="5" borderId="2" xfId="0" applyFont="1" applyFill="1" applyBorder="1" applyAlignment="1">
      <alignment horizontal="center" wrapText="1"/>
    </xf>
    <xf numFmtId="164" fontId="1" fillId="10" borderId="4" xfId="0" applyNumberFormat="1" applyFont="1" applyFill="1" applyBorder="1"/>
    <xf numFmtId="164" fontId="4" fillId="10" borderId="4" xfId="0" applyNumberFormat="1" applyFont="1" applyFill="1" applyBorder="1"/>
    <xf numFmtId="166" fontId="11" fillId="10" borderId="4" xfId="0" applyNumberFormat="1" applyFont="1" applyFill="1" applyBorder="1" applyAlignment="1">
      <alignment horizontal="center"/>
    </xf>
    <xf numFmtId="165" fontId="11" fillId="10" borderId="4" xfId="0" applyNumberFormat="1" applyFont="1" applyFill="1" applyBorder="1"/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0" fontId="7" fillId="16" borderId="0" xfId="0" applyFont="1" applyFill="1"/>
    <xf numFmtId="0" fontId="0" fillId="16" borderId="0" xfId="0" applyFill="1"/>
    <xf numFmtId="14" fontId="1" fillId="16" borderId="4" xfId="0" applyNumberFormat="1" applyFont="1" applyFill="1" applyBorder="1" applyAlignment="1">
      <alignment horizontal="center"/>
    </xf>
    <xf numFmtId="0" fontId="1" fillId="16" borderId="4" xfId="0" applyFont="1" applyFill="1" applyBorder="1" applyAlignment="1">
      <alignment horizontal="left"/>
    </xf>
    <xf numFmtId="0" fontId="12" fillId="16" borderId="4" xfId="0" applyFont="1" applyFill="1" applyBorder="1" applyAlignment="1">
      <alignment horizontal="left"/>
    </xf>
    <xf numFmtId="0" fontId="12" fillId="16" borderId="4" xfId="0" applyFont="1" applyFill="1" applyBorder="1" applyAlignment="1">
      <alignment horizontal="center"/>
    </xf>
    <xf numFmtId="10" fontId="12" fillId="16" borderId="4" xfId="0" applyNumberFormat="1" applyFont="1" applyFill="1" applyBorder="1" applyAlignment="1">
      <alignment horizontal="center"/>
    </xf>
    <xf numFmtId="14" fontId="12" fillId="16" borderId="4" xfId="0" applyNumberFormat="1" applyFont="1" applyFill="1" applyBorder="1" applyAlignment="1">
      <alignment horizontal="center"/>
    </xf>
    <xf numFmtId="0" fontId="12" fillId="16" borderId="4" xfId="0" applyNumberFormat="1" applyFont="1" applyFill="1" applyBorder="1" applyAlignment="1">
      <alignment horizontal="center"/>
    </xf>
    <xf numFmtId="170" fontId="12" fillId="16" borderId="4" xfId="0" applyNumberFormat="1" applyFont="1" applyFill="1" applyBorder="1" applyAlignment="1">
      <alignment horizontal="center"/>
    </xf>
    <xf numFmtId="2" fontId="12" fillId="16" borderId="4" xfId="0" applyNumberFormat="1" applyFont="1" applyFill="1" applyBorder="1" applyAlignment="1">
      <alignment horizontal="center"/>
    </xf>
    <xf numFmtId="164" fontId="12" fillId="16" borderId="4" xfId="0" applyNumberFormat="1" applyFont="1" applyFill="1" applyBorder="1"/>
    <xf numFmtId="4" fontId="12" fillId="16" borderId="4" xfId="0" applyNumberFormat="1" applyFont="1" applyFill="1" applyBorder="1" applyAlignment="1">
      <alignment horizontal="right"/>
    </xf>
    <xf numFmtId="166" fontId="12" fillId="16" borderId="4" xfId="0" applyNumberFormat="1" applyFont="1" applyFill="1" applyBorder="1" applyAlignment="1">
      <alignment horizontal="center"/>
    </xf>
    <xf numFmtId="169" fontId="12" fillId="16" borderId="4" xfId="0" applyNumberFormat="1" applyFont="1" applyFill="1" applyBorder="1" applyAlignment="1">
      <alignment horizontal="center"/>
    </xf>
    <xf numFmtId="165" fontId="12" fillId="16" borderId="4" xfId="0" applyNumberFormat="1" applyFont="1" applyFill="1" applyBorder="1"/>
    <xf numFmtId="165" fontId="14" fillId="16" borderId="4" xfId="0" applyNumberFormat="1" applyFont="1" applyFill="1" applyBorder="1" applyAlignment="1">
      <alignment horizontal="right"/>
    </xf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4" fontId="0" fillId="17" borderId="0" xfId="0" applyNumberFormat="1" applyFill="1"/>
    <xf numFmtId="0" fontId="1" fillId="17" borderId="0" xfId="0" applyFont="1" applyFill="1" applyBorder="1" applyAlignment="1">
      <alignment horizontal="left"/>
    </xf>
    <xf numFmtId="0" fontId="0" fillId="17" borderId="0" xfId="0" applyFill="1"/>
    <xf numFmtId="0" fontId="0" fillId="17" borderId="0" xfId="0" applyFill="1" applyAlignment="1">
      <alignment horizontal="center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/>
    </xf>
    <xf numFmtId="10" fontId="1" fillId="1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left"/>
    </xf>
    <xf numFmtId="165" fontId="12" fillId="0" borderId="4" xfId="0" applyNumberFormat="1" applyFont="1" applyFill="1" applyBorder="1" applyAlignment="1">
      <alignment horizontal="right"/>
    </xf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/>
    <xf numFmtId="0" fontId="3" fillId="0" borderId="4" xfId="0" applyNumberFormat="1" applyFont="1" applyFill="1" applyBorder="1" applyAlignment="1">
      <alignment horizontal="center"/>
    </xf>
    <xf numFmtId="14" fontId="8" fillId="5" borderId="6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4" fillId="10" borderId="4" xfId="0" applyNumberFormat="1" applyFont="1" applyFill="1" applyBorder="1" applyAlignment="1">
      <alignment horizontal="right" vertical="center"/>
    </xf>
    <xf numFmtId="43" fontId="1" fillId="0" borderId="0" xfId="0" applyNumberFormat="1" applyFont="1"/>
    <xf numFmtId="4" fontId="12" fillId="10" borderId="4" xfId="0" applyNumberFormat="1" applyFont="1" applyFill="1" applyBorder="1" applyAlignment="1">
      <alignment horizontal="center"/>
    </xf>
    <xf numFmtId="4" fontId="11" fillId="0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2" fontId="12" fillId="0" borderId="4" xfId="0" applyNumberFormat="1" applyFont="1" applyFill="1" applyBorder="1"/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43" fontId="1" fillId="17" borderId="0" xfId="0" applyNumberFormat="1" applyFont="1" applyFill="1"/>
    <xf numFmtId="165" fontId="1" fillId="17" borderId="0" xfId="0" applyNumberFormat="1" applyFont="1" applyFill="1"/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4" fillId="10" borderId="4" xfId="0" applyNumberFormat="1" applyFont="1" applyFill="1" applyBorder="1"/>
    <xf numFmtId="4" fontId="4" fillId="10" borderId="4" xfId="0" applyNumberFormat="1" applyFont="1" applyFill="1" applyBorder="1" applyAlignment="1">
      <alignment horizontal="right"/>
    </xf>
    <xf numFmtId="165" fontId="26" fillId="0" borderId="0" xfId="0" applyNumberFormat="1" applyFont="1" applyAlignment="1">
      <alignment horizontal="right"/>
    </xf>
    <xf numFmtId="43" fontId="0" fillId="0" borderId="0" xfId="0" applyNumberFormat="1"/>
    <xf numFmtId="165" fontId="26" fillId="0" borderId="0" xfId="0" applyNumberFormat="1" applyFont="1"/>
    <xf numFmtId="43" fontId="26" fillId="0" borderId="0" xfId="0" applyNumberFormat="1" applyFont="1"/>
    <xf numFmtId="0" fontId="15" fillId="0" borderId="0" xfId="0" applyFont="1"/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8" fillId="13" borderId="6" xfId="0" applyNumberFormat="1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1" fillId="18" borderId="4" xfId="0" applyFont="1" applyFill="1" applyBorder="1" applyAlignment="1">
      <alignment horizontal="left"/>
    </xf>
    <xf numFmtId="0" fontId="12" fillId="18" borderId="4" xfId="0" applyFont="1" applyFill="1" applyBorder="1" applyAlignment="1">
      <alignment horizontal="center"/>
    </xf>
    <xf numFmtId="9" fontId="1" fillId="18" borderId="4" xfId="0" applyNumberFormat="1" applyFont="1" applyFill="1" applyBorder="1" applyAlignment="1">
      <alignment horizontal="center"/>
    </xf>
    <xf numFmtId="14" fontId="12" fillId="18" borderId="4" xfId="0" applyNumberFormat="1" applyFont="1" applyFill="1" applyBorder="1" applyAlignment="1">
      <alignment horizontal="center"/>
    </xf>
    <xf numFmtId="0" fontId="12" fillId="18" borderId="4" xfId="0" applyNumberFormat="1" applyFont="1" applyFill="1" applyBorder="1" applyAlignment="1">
      <alignment horizontal="center"/>
    </xf>
    <xf numFmtId="170" fontId="12" fillId="18" borderId="4" xfId="0" applyNumberFormat="1" applyFont="1" applyFill="1" applyBorder="1" applyAlignment="1">
      <alignment horizontal="center"/>
    </xf>
    <xf numFmtId="2" fontId="12" fillId="18" borderId="4" xfId="0" applyNumberFormat="1" applyFont="1" applyFill="1" applyBorder="1" applyAlignment="1">
      <alignment horizontal="center"/>
    </xf>
    <xf numFmtId="14" fontId="1" fillId="18" borderId="4" xfId="0" applyNumberFormat="1" applyFont="1" applyFill="1" applyBorder="1" applyAlignment="1">
      <alignment horizontal="center"/>
    </xf>
    <xf numFmtId="164" fontId="1" fillId="18" borderId="4" xfId="0" applyNumberFormat="1" applyFont="1" applyFill="1" applyBorder="1"/>
    <xf numFmtId="164" fontId="12" fillId="18" borderId="4" xfId="0" applyNumberFormat="1" applyFont="1" applyFill="1" applyBorder="1"/>
    <xf numFmtId="4" fontId="12" fillId="18" borderId="4" xfId="0" applyNumberFormat="1" applyFont="1" applyFill="1" applyBorder="1" applyAlignment="1">
      <alignment horizontal="right"/>
    </xf>
    <xf numFmtId="166" fontId="12" fillId="18" borderId="4" xfId="0" applyNumberFormat="1" applyFont="1" applyFill="1" applyBorder="1" applyAlignment="1">
      <alignment horizontal="center"/>
    </xf>
    <xf numFmtId="169" fontId="12" fillId="18" borderId="4" xfId="0" applyNumberFormat="1" applyFont="1" applyFill="1" applyBorder="1" applyAlignment="1">
      <alignment horizontal="center"/>
    </xf>
    <xf numFmtId="165" fontId="12" fillId="18" borderId="4" xfId="0" applyNumberFormat="1" applyFont="1" applyFill="1" applyBorder="1"/>
    <xf numFmtId="165" fontId="14" fillId="18" borderId="4" xfId="0" applyNumberFormat="1" applyFont="1" applyFill="1" applyBorder="1" applyAlignment="1">
      <alignment horizontal="right"/>
    </xf>
    <xf numFmtId="10" fontId="1" fillId="18" borderId="4" xfId="0" applyNumberFormat="1" applyFont="1" applyFill="1" applyBorder="1" applyAlignment="1">
      <alignment horizontal="center"/>
    </xf>
    <xf numFmtId="0" fontId="0" fillId="18" borderId="0" xfId="0" applyFill="1"/>
    <xf numFmtId="0" fontId="12" fillId="18" borderId="4" xfId="0" applyFont="1" applyFill="1" applyBorder="1" applyAlignment="1">
      <alignment horizontal="left"/>
    </xf>
    <xf numFmtId="9" fontId="12" fillId="18" borderId="4" xfId="0" applyNumberFormat="1" applyFont="1" applyFill="1" applyBorder="1" applyAlignment="1">
      <alignment horizontal="center"/>
    </xf>
    <xf numFmtId="0" fontId="4" fillId="18" borderId="4" xfId="0" applyNumberFormat="1" applyFont="1" applyFill="1" applyBorder="1" applyAlignment="1">
      <alignment horizontal="center"/>
    </xf>
    <xf numFmtId="166" fontId="11" fillId="18" borderId="4" xfId="0" applyNumberFormat="1" applyFont="1" applyFill="1" applyBorder="1" applyAlignment="1">
      <alignment horizontal="center"/>
    </xf>
    <xf numFmtId="167" fontId="12" fillId="18" borderId="4" xfId="0" applyNumberFormat="1" applyFont="1" applyFill="1" applyBorder="1" applyAlignment="1">
      <alignment horizontal="center"/>
    </xf>
    <xf numFmtId="10" fontId="4" fillId="18" borderId="4" xfId="0" applyNumberFormat="1" applyFont="1" applyFill="1" applyBorder="1" applyAlignment="1">
      <alignment horizontal="center"/>
    </xf>
    <xf numFmtId="0" fontId="1" fillId="18" borderId="4" xfId="0" applyNumberFormat="1" applyFont="1" applyFill="1" applyBorder="1" applyAlignment="1">
      <alignment horizontal="center"/>
    </xf>
    <xf numFmtId="14" fontId="1" fillId="18" borderId="4" xfId="0" applyNumberFormat="1" applyFont="1" applyFill="1" applyBorder="1"/>
    <xf numFmtId="4" fontId="4" fillId="18" borderId="4" xfId="0" applyNumberFormat="1" applyFont="1" applyFill="1" applyBorder="1" applyAlignment="1">
      <alignment horizontal="right"/>
    </xf>
    <xf numFmtId="4" fontId="4" fillId="18" borderId="4" xfId="0" applyNumberFormat="1" applyFont="1" applyFill="1" applyBorder="1" applyAlignment="1">
      <alignment horizontal="right" vertical="center"/>
    </xf>
    <xf numFmtId="4" fontId="12" fillId="18" borderId="4" xfId="0" applyNumberFormat="1" applyFont="1" applyFill="1" applyBorder="1" applyAlignment="1">
      <alignment horizontal="center"/>
    </xf>
    <xf numFmtId="9" fontId="4" fillId="18" borderId="4" xfId="0" applyNumberFormat="1" applyFont="1" applyFill="1" applyBorder="1" applyAlignment="1">
      <alignment horizontal="center"/>
    </xf>
    <xf numFmtId="164" fontId="4" fillId="18" borderId="4" xfId="0" applyNumberFormat="1" applyFont="1" applyFill="1" applyBorder="1"/>
    <xf numFmtId="165" fontId="11" fillId="18" borderId="4" xfId="0" applyNumberFormat="1" applyFont="1" applyFill="1" applyBorder="1"/>
    <xf numFmtId="0" fontId="12" fillId="18" borderId="4" xfId="0" applyNumberFormat="1" applyFont="1" applyFill="1" applyBorder="1"/>
    <xf numFmtId="14" fontId="4" fillId="18" borderId="4" xfId="0" applyNumberFormat="1" applyFont="1" applyFill="1" applyBorder="1"/>
    <xf numFmtId="0" fontId="10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right"/>
    </xf>
    <xf numFmtId="14" fontId="10" fillId="5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left"/>
    </xf>
    <xf numFmtId="0" fontId="12" fillId="19" borderId="4" xfId="0" applyFont="1" applyFill="1" applyBorder="1" applyAlignment="1">
      <alignment horizontal="center"/>
    </xf>
    <xf numFmtId="10" fontId="1" fillId="19" borderId="4" xfId="0" applyNumberFormat="1" applyFont="1" applyFill="1" applyBorder="1" applyAlignment="1">
      <alignment horizontal="center"/>
    </xf>
    <xf numFmtId="14" fontId="12" fillId="19" borderId="4" xfId="0" applyNumberFormat="1" applyFont="1" applyFill="1" applyBorder="1" applyAlignment="1">
      <alignment horizontal="center"/>
    </xf>
    <xf numFmtId="0" fontId="12" fillId="19" borderId="4" xfId="0" applyNumberFormat="1" applyFont="1" applyFill="1" applyBorder="1" applyAlignment="1">
      <alignment horizontal="center"/>
    </xf>
    <xf numFmtId="170" fontId="12" fillId="19" borderId="4" xfId="0" applyNumberFormat="1" applyFont="1" applyFill="1" applyBorder="1" applyAlignment="1">
      <alignment horizontal="center"/>
    </xf>
    <xf numFmtId="2" fontId="12" fillId="19" borderId="4" xfId="0" applyNumberFormat="1" applyFont="1" applyFill="1" applyBorder="1" applyAlignment="1">
      <alignment horizontal="center"/>
    </xf>
    <xf numFmtId="14" fontId="1" fillId="19" borderId="4" xfId="0" applyNumberFormat="1" applyFont="1" applyFill="1" applyBorder="1" applyAlignment="1">
      <alignment horizontal="center"/>
    </xf>
    <xf numFmtId="164" fontId="1" fillId="19" borderId="4" xfId="0" applyNumberFormat="1" applyFont="1" applyFill="1" applyBorder="1"/>
    <xf numFmtId="164" fontId="12" fillId="19" borderId="4" xfId="0" applyNumberFormat="1" applyFont="1" applyFill="1" applyBorder="1"/>
    <xf numFmtId="4" fontId="12" fillId="19" borderId="4" xfId="0" applyNumberFormat="1" applyFont="1" applyFill="1" applyBorder="1" applyAlignment="1">
      <alignment horizontal="right"/>
    </xf>
    <xf numFmtId="166" fontId="12" fillId="19" borderId="4" xfId="0" applyNumberFormat="1" applyFont="1" applyFill="1" applyBorder="1" applyAlignment="1">
      <alignment horizontal="center"/>
    </xf>
    <xf numFmtId="169" fontId="12" fillId="19" borderId="4" xfId="0" applyNumberFormat="1" applyFont="1" applyFill="1" applyBorder="1" applyAlignment="1">
      <alignment horizontal="center"/>
    </xf>
    <xf numFmtId="165" fontId="12" fillId="19" borderId="4" xfId="0" applyNumberFormat="1" applyFont="1" applyFill="1" applyBorder="1"/>
    <xf numFmtId="165" fontId="14" fillId="19" borderId="4" xfId="0" applyNumberFormat="1" applyFont="1" applyFill="1" applyBorder="1" applyAlignment="1">
      <alignment horizontal="right"/>
    </xf>
    <xf numFmtId="0" fontId="0" fillId="19" borderId="0" xfId="0" applyFill="1"/>
    <xf numFmtId="0" fontId="12" fillId="19" borderId="4" xfId="0" applyFont="1" applyFill="1" applyBorder="1" applyAlignment="1">
      <alignment horizontal="left"/>
    </xf>
    <xf numFmtId="9" fontId="12" fillId="19" borderId="4" xfId="0" applyNumberFormat="1" applyFont="1" applyFill="1" applyBorder="1" applyAlignment="1">
      <alignment horizontal="center"/>
    </xf>
    <xf numFmtId="167" fontId="12" fillId="19" borderId="4" xfId="0" applyNumberFormat="1" applyFont="1" applyFill="1" applyBorder="1" applyAlignment="1">
      <alignment horizontal="center"/>
    </xf>
    <xf numFmtId="9" fontId="4" fillId="19" borderId="4" xfId="0" applyNumberFormat="1" applyFont="1" applyFill="1" applyBorder="1" applyAlignment="1">
      <alignment horizontal="center"/>
    </xf>
    <xf numFmtId="0" fontId="1" fillId="19" borderId="4" xfId="0" applyNumberFormat="1" applyFont="1" applyFill="1" applyBorder="1" applyAlignment="1">
      <alignment horizontal="center"/>
    </xf>
    <xf numFmtId="164" fontId="4" fillId="19" borderId="4" xfId="0" applyNumberFormat="1" applyFont="1" applyFill="1" applyBorder="1"/>
    <xf numFmtId="166" fontId="11" fillId="19" borderId="4" xfId="0" applyNumberFormat="1" applyFont="1" applyFill="1" applyBorder="1" applyAlignment="1">
      <alignment horizontal="center"/>
    </xf>
    <xf numFmtId="171" fontId="12" fillId="19" borderId="4" xfId="0" applyNumberFormat="1" applyFont="1" applyFill="1" applyBorder="1"/>
    <xf numFmtId="172" fontId="12" fillId="19" borderId="4" xfId="0" applyNumberFormat="1" applyFont="1" applyFill="1" applyBorder="1"/>
    <xf numFmtId="0" fontId="1" fillId="19" borderId="4" xfId="0" applyFont="1" applyFill="1" applyBorder="1" applyAlignment="1">
      <alignment horizontal="center"/>
    </xf>
    <xf numFmtId="165" fontId="0" fillId="19" borderId="0" xfId="0" applyNumberFormat="1" applyFill="1"/>
    <xf numFmtId="9" fontId="1" fillId="19" borderId="4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left"/>
    </xf>
    <xf numFmtId="0" fontId="12" fillId="20" borderId="4" xfId="0" applyFont="1" applyFill="1" applyBorder="1" applyAlignment="1">
      <alignment horizontal="left"/>
    </xf>
    <xf numFmtId="10" fontId="12" fillId="19" borderId="4" xfId="0" applyNumberFormat="1" applyFont="1" applyFill="1" applyBorder="1" applyAlignment="1">
      <alignment horizontal="center"/>
    </xf>
    <xf numFmtId="43" fontId="0" fillId="19" borderId="0" xfId="0" applyNumberFormat="1" applyFill="1"/>
    <xf numFmtId="0" fontId="1" fillId="0" borderId="0" xfId="0" applyFont="1" applyFill="1" applyBorder="1" applyAlignment="1">
      <alignment horizontal="left"/>
    </xf>
    <xf numFmtId="172" fontId="12" fillId="0" borderId="4" xfId="0" applyNumberFormat="1" applyFont="1" applyFill="1" applyBorder="1"/>
    <xf numFmtId="0" fontId="5" fillId="0" borderId="4" xfId="0" applyFont="1" applyFill="1" applyBorder="1" applyAlignment="1">
      <alignment horizontal="left"/>
    </xf>
    <xf numFmtId="44" fontId="12" fillId="0" borderId="4" xfId="0" applyNumberFormat="1" applyFont="1" applyFill="1" applyBorder="1" applyAlignment="1">
      <alignment horizontal="center"/>
    </xf>
    <xf numFmtId="173" fontId="12" fillId="0" borderId="4" xfId="0" applyNumberFormat="1" applyFont="1" applyFill="1" applyBorder="1"/>
    <xf numFmtId="44" fontId="11" fillId="0" borderId="4" xfId="0" applyNumberFormat="1" applyFont="1" applyFill="1" applyBorder="1" applyAlignment="1">
      <alignment horizontal="center"/>
    </xf>
    <xf numFmtId="165" fontId="14" fillId="15" borderId="4" xfId="0" applyNumberFormat="1" applyFont="1" applyFill="1" applyBorder="1" applyAlignment="1">
      <alignment horizontal="right"/>
    </xf>
    <xf numFmtId="165" fontId="12" fillId="15" borderId="4" xfId="0" applyNumberFormat="1" applyFont="1" applyFill="1" applyBorder="1"/>
    <xf numFmtId="171" fontId="12" fillId="15" borderId="4" xfId="0" applyNumberFormat="1" applyFont="1" applyFill="1" applyBorder="1"/>
    <xf numFmtId="169" fontId="12" fillId="15" borderId="5" xfId="0" applyNumberFormat="1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166" fontId="12" fillId="15" borderId="4" xfId="0" applyNumberFormat="1" applyFont="1" applyFill="1" applyBorder="1" applyAlignment="1">
      <alignment horizontal="center"/>
    </xf>
    <xf numFmtId="4" fontId="12" fillId="15" borderId="4" xfId="0" applyNumberFormat="1" applyFont="1" applyFill="1" applyBorder="1"/>
    <xf numFmtId="4" fontId="12" fillId="15" borderId="5" xfId="0" applyNumberFormat="1" applyFont="1" applyFill="1" applyBorder="1" applyAlignment="1">
      <alignment horizontal="right"/>
    </xf>
    <xf numFmtId="1" fontId="12" fillId="15" borderId="4" xfId="0" applyNumberFormat="1" applyFont="1" applyFill="1" applyBorder="1" applyAlignment="1">
      <alignment horizontal="center" vertical="center"/>
    </xf>
    <xf numFmtId="0" fontId="12" fillId="15" borderId="5" xfId="0" applyFont="1" applyFill="1" applyBorder="1" applyAlignment="1">
      <alignment horizontal="center"/>
    </xf>
    <xf numFmtId="4" fontId="1" fillId="15" borderId="4" xfId="0" applyNumberFormat="1" applyFont="1" applyFill="1" applyBorder="1" applyAlignment="1">
      <alignment horizontal="right"/>
    </xf>
    <xf numFmtId="14" fontId="1" fillId="15" borderId="4" xfId="0" applyNumberFormat="1" applyFont="1" applyFill="1" applyBorder="1"/>
    <xf numFmtId="10" fontId="1" fillId="15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14" fontId="1" fillId="21" borderId="4" xfId="0" applyNumberFormat="1" applyFont="1" applyFill="1" applyBorder="1" applyAlignment="1">
      <alignment horizontal="center"/>
    </xf>
    <xf numFmtId="0" fontId="3" fillId="20" borderId="4" xfId="0" applyFont="1" applyFill="1" applyBorder="1" applyAlignment="1">
      <alignment horizontal="left"/>
    </xf>
    <xf numFmtId="0" fontId="11" fillId="6" borderId="3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15" fillId="11" borderId="0" xfId="0" applyNumberFormat="1" applyFont="1" applyFill="1" applyAlignment="1"/>
    <xf numFmtId="0" fontId="16" fillId="11" borderId="0" xfId="0" applyNumberFormat="1" applyFont="1" applyFill="1" applyAlignment="1">
      <alignment horizontal="center"/>
    </xf>
    <xf numFmtId="0" fontId="15" fillId="11" borderId="0" xfId="0" applyNumberFormat="1" applyFont="1" applyFill="1" applyAlignment="1">
      <alignment horizontal="center"/>
    </xf>
    <xf numFmtId="171" fontId="12" fillId="0" borderId="4" xfId="0" applyNumberFormat="1" applyFont="1" applyFill="1" applyBorder="1"/>
    <xf numFmtId="0" fontId="27" fillId="20" borderId="4" xfId="0" applyFont="1" applyFill="1" applyBorder="1" applyAlignment="1">
      <alignment horizontal="left"/>
    </xf>
    <xf numFmtId="10" fontId="4" fillId="19" borderId="4" xfId="0" applyNumberFormat="1" applyFont="1" applyFill="1" applyBorder="1" applyAlignment="1">
      <alignment horizontal="center"/>
    </xf>
    <xf numFmtId="14" fontId="4" fillId="19" borderId="4" xfId="0" applyNumberFormat="1" applyFont="1" applyFill="1" applyBorder="1"/>
    <xf numFmtId="4" fontId="4" fillId="19" borderId="4" xfId="0" applyNumberFormat="1" applyFont="1" applyFill="1" applyBorder="1" applyAlignment="1">
      <alignment horizontal="right"/>
    </xf>
    <xf numFmtId="4" fontId="4" fillId="19" borderId="4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5" fontId="1" fillId="0" borderId="0" xfId="0" applyNumberFormat="1" applyFont="1" applyFill="1"/>
    <xf numFmtId="43" fontId="1" fillId="0" borderId="0" xfId="0" applyNumberFormat="1" applyFont="1" applyFill="1"/>
    <xf numFmtId="0" fontId="0" fillId="0" borderId="0" xfId="0" applyFill="1" applyAlignment="1">
      <alignment horizontal="center" vertical="center"/>
    </xf>
    <xf numFmtId="0" fontId="0" fillId="19" borderId="4" xfId="0" applyFill="1" applyBorder="1"/>
    <xf numFmtId="169" fontId="0" fillId="0" borderId="0" xfId="0" applyNumberFormat="1" applyFill="1"/>
    <xf numFmtId="0" fontId="10" fillId="5" borderId="7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/>
    </xf>
    <xf numFmtId="165" fontId="9" fillId="0" borderId="9" xfId="0" applyNumberFormat="1" applyFont="1" applyFill="1" applyBorder="1" applyAlignment="1">
      <alignment horizontal="right"/>
    </xf>
    <xf numFmtId="165" fontId="14" fillId="0" borderId="9" xfId="0" applyNumberFormat="1" applyFont="1" applyFill="1" applyBorder="1" applyAlignment="1">
      <alignment horizontal="right"/>
    </xf>
    <xf numFmtId="165" fontId="14" fillId="19" borderId="9" xfId="0" applyNumberFormat="1" applyFont="1" applyFill="1" applyBorder="1" applyAlignment="1">
      <alignment horizontal="right"/>
    </xf>
    <xf numFmtId="165" fontId="12" fillId="0" borderId="9" xfId="0" applyNumberFormat="1" applyFont="1" applyFill="1" applyBorder="1"/>
    <xf numFmtId="165" fontId="14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/>
    <xf numFmtId="4" fontId="0" fillId="0" borderId="0" xfId="0" applyNumberFormat="1" applyFill="1" applyBorder="1"/>
    <xf numFmtId="165" fontId="26" fillId="0" borderId="0" xfId="0" applyNumberFormat="1" applyFont="1" applyFill="1"/>
    <xf numFmtId="169" fontId="7" fillId="0" borderId="0" xfId="0" applyNumberFormat="1" applyFont="1" applyFill="1"/>
    <xf numFmtId="43" fontId="15" fillId="0" borderId="0" xfId="0" applyNumberFormat="1" applyFont="1"/>
    <xf numFmtId="165" fontId="15" fillId="0" borderId="0" xfId="0" applyNumberFormat="1" applyFont="1"/>
    <xf numFmtId="165" fontId="7" fillId="0" borderId="0" xfId="0" applyNumberFormat="1" applyFont="1"/>
    <xf numFmtId="4" fontId="15" fillId="0" borderId="0" xfId="0" applyNumberFormat="1" applyFont="1"/>
    <xf numFmtId="171" fontId="26" fillId="0" borderId="0" xfId="0" applyNumberFormat="1" applyFont="1"/>
    <xf numFmtId="14" fontId="12" fillId="0" borderId="4" xfId="0" applyNumberFormat="1" applyFont="1" applyFill="1" applyBorder="1" applyAlignment="1">
      <alignment horizontal="center" wrapText="1"/>
    </xf>
    <xf numFmtId="14" fontId="28" fillId="11" borderId="0" xfId="0" applyNumberFormat="1" applyFont="1" applyFill="1"/>
    <xf numFmtId="0" fontId="29" fillId="11" borderId="0" xfId="0" applyFont="1" applyFill="1"/>
    <xf numFmtId="0" fontId="28" fillId="11" borderId="0" xfId="0" applyFont="1" applyFill="1"/>
    <xf numFmtId="0" fontId="30" fillId="0" borderId="0" xfId="0" applyFont="1" applyFill="1"/>
    <xf numFmtId="0" fontId="30" fillId="0" borderId="0" xfId="0" applyFont="1"/>
    <xf numFmtId="0" fontId="32" fillId="3" borderId="4" xfId="0" applyFont="1" applyFill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0" fontId="15" fillId="11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11" borderId="0" xfId="0" applyFill="1"/>
    <xf numFmtId="0" fontId="0" fillId="5" borderId="0" xfId="0" applyFill="1" applyAlignment="1">
      <alignment horizontal="center"/>
    </xf>
    <xf numFmtId="0" fontId="33" fillId="11" borderId="0" xfId="0" applyFont="1" applyFill="1" applyAlignment="1">
      <alignment horizontal="right"/>
    </xf>
    <xf numFmtId="0" fontId="33" fillId="11" borderId="0" xfId="0" applyFont="1" applyFill="1"/>
    <xf numFmtId="164" fontId="0" fillId="0" borderId="0" xfId="0" applyNumberFormat="1"/>
    <xf numFmtId="164" fontId="7" fillId="0" borderId="0" xfId="0" applyNumberFormat="1" applyFont="1"/>
    <xf numFmtId="0" fontId="12" fillId="8" borderId="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0" fontId="25" fillId="12" borderId="6" xfId="0" applyFont="1" applyFill="1" applyBorder="1" applyAlignment="1">
      <alignment horizontal="center" vertical="center" wrapText="1"/>
    </xf>
    <xf numFmtId="14" fontId="8" fillId="13" borderId="6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14" fontId="11" fillId="5" borderId="3" xfId="0" applyNumberFormat="1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4" fontId="20" fillId="13" borderId="2" xfId="0" applyNumberFormat="1" applyFont="1" applyFill="1" applyBorder="1" applyAlignment="1">
      <alignment horizontal="center" vertical="center" wrapText="1"/>
    </xf>
    <xf numFmtId="14" fontId="12" fillId="13" borderId="3" xfId="0" applyNumberFormat="1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14" borderId="0" xfId="0" applyFont="1" applyFill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" fontId="10" fillId="5" borderId="3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14" fontId="10" fillId="6" borderId="4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 wrapText="1"/>
    </xf>
    <xf numFmtId="4" fontId="11" fillId="6" borderId="3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left" vertical="center" wrapText="1"/>
    </xf>
    <xf numFmtId="14" fontId="11" fillId="5" borderId="3" xfId="0" applyNumberFormat="1" applyFont="1" applyFill="1" applyBorder="1" applyAlignment="1">
      <alignment horizontal="left" vertical="center" wrapText="1"/>
    </xf>
    <xf numFmtId="14" fontId="31" fillId="5" borderId="2" xfId="0" applyNumberFormat="1" applyFont="1" applyFill="1" applyBorder="1" applyAlignment="1">
      <alignment horizontal="center" vertical="center" wrapText="1"/>
    </xf>
    <xf numFmtId="14" fontId="29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CC"/>
      <color rgb="FF660033"/>
      <color rgb="FFFF66FF"/>
      <color rgb="FFCC0099"/>
      <color rgb="FFCC9900"/>
      <color rgb="FF33CCF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757914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346473</xdr:colOff>
      <xdr:row>0</xdr:row>
      <xdr:rowOff>85725</xdr:rowOff>
    </xdr:from>
    <xdr:to>
      <xdr:col>1</xdr:col>
      <xdr:colOff>318458</xdr:colOff>
      <xdr:row>5</xdr:row>
      <xdr:rowOff>86185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473" y="85725"/>
          <a:ext cx="914960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757914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757914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10085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10085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06422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06422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  <xdr:oneCellAnchor>
    <xdr:from>
      <xdr:col>0</xdr:col>
      <xdr:colOff>0</xdr:colOff>
      <xdr:row>0</xdr:row>
      <xdr:rowOff>120891</xdr:rowOff>
    </xdr:from>
    <xdr:ext cx="757914" cy="806422"/>
    <xdr:pic>
      <xdr:nvPicPr>
        <xdr:cNvPr id="3" name="2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06422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  <xdr:oneCellAnchor>
    <xdr:from>
      <xdr:col>0</xdr:col>
      <xdr:colOff>0</xdr:colOff>
      <xdr:row>0</xdr:row>
      <xdr:rowOff>120891</xdr:rowOff>
    </xdr:from>
    <xdr:ext cx="757914" cy="806422"/>
    <xdr:pic>
      <xdr:nvPicPr>
        <xdr:cNvPr id="4" name="3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06422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  <xdr:oneCellAnchor>
    <xdr:from>
      <xdr:col>0</xdr:col>
      <xdr:colOff>0</xdr:colOff>
      <xdr:row>0</xdr:row>
      <xdr:rowOff>120891</xdr:rowOff>
    </xdr:from>
    <xdr:ext cx="757914" cy="806422"/>
    <xdr:pic>
      <xdr:nvPicPr>
        <xdr:cNvPr id="5" name="4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06422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23074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23074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10085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120891</xdr:rowOff>
    </xdr:from>
    <xdr:ext cx="757914" cy="823074"/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757914" cy="823074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120891</xdr:rowOff>
    </xdr:from>
    <xdr:to>
      <xdr:col>0</xdr:col>
      <xdr:colOff>910314</xdr:colOff>
      <xdr:row>5</xdr:row>
      <xdr:rowOff>121351</xdr:rowOff>
    </xdr:to>
    <xdr:pic>
      <xdr:nvPicPr>
        <xdr:cNvPr id="2" name="1 Imagen" descr="escud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891"/>
          <a:ext cx="910314" cy="810085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5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8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9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30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omments" Target="../comments31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2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33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4" Type="http://schemas.openxmlformats.org/officeDocument/2006/relationships/comments" Target="../comments34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N21"/>
  <sheetViews>
    <sheetView workbookViewId="0">
      <selection activeCell="H33" sqref="H33"/>
    </sheetView>
  </sheetViews>
  <sheetFormatPr baseColWidth="10" defaultRowHeight="12.75" x14ac:dyDescent="0.2"/>
  <cols>
    <col min="24" max="24" width="9.85546875" customWidth="1"/>
    <col min="27" max="37" width="0" hidden="1" customWidth="1"/>
  </cols>
  <sheetData>
    <row r="1" spans="1:40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9"/>
      <c r="W1" s="140"/>
      <c r="X1" s="139"/>
      <c r="Y1" s="139"/>
      <c r="Z1" s="139"/>
      <c r="AA1" s="139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9"/>
      <c r="AM1" s="137"/>
      <c r="AN1" s="141"/>
    </row>
    <row r="2" spans="1:40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9"/>
      <c r="W2" s="140"/>
      <c r="X2" s="139"/>
      <c r="Y2" s="139"/>
      <c r="Z2" s="139"/>
      <c r="AA2" s="139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41"/>
    </row>
    <row r="3" spans="1:40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39"/>
      <c r="W3" s="140"/>
      <c r="X3" s="139"/>
      <c r="Y3" s="139"/>
      <c r="Z3" s="139"/>
      <c r="AA3" s="139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41"/>
    </row>
    <row r="4" spans="1:40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39"/>
      <c r="W4" s="140"/>
      <c r="X4" s="139"/>
      <c r="Y4" s="139"/>
      <c r="Z4" s="139"/>
      <c r="AA4" s="139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41"/>
    </row>
    <row r="5" spans="1:40" x14ac:dyDescent="0.2">
      <c r="A5" s="137"/>
      <c r="B5" s="144" t="s">
        <v>857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9"/>
      <c r="W5" s="140"/>
      <c r="X5" s="139"/>
      <c r="Y5" s="139"/>
      <c r="Z5" s="139"/>
      <c r="AA5" s="139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41"/>
    </row>
    <row r="6" spans="1:40" x14ac:dyDescent="0.2">
      <c r="A6" s="137"/>
      <c r="B6" s="137" t="s">
        <v>858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9"/>
      <c r="W6" s="140"/>
      <c r="X6" s="139"/>
      <c r="Y6" s="139"/>
      <c r="Z6" s="139"/>
      <c r="AA6" s="139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41"/>
    </row>
    <row r="7" spans="1:40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9"/>
      <c r="W7" s="140"/>
      <c r="X7" s="139"/>
      <c r="Y7" s="139"/>
      <c r="Z7" s="139"/>
      <c r="AA7" s="139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41"/>
    </row>
    <row r="8" spans="1:40" x14ac:dyDescent="0.2">
      <c r="A8" s="22"/>
      <c r="B8" s="22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81"/>
      <c r="W8" s="120"/>
      <c r="X8" s="81"/>
      <c r="Y8" s="81"/>
      <c r="Z8" s="81"/>
      <c r="AA8" s="81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112"/>
    </row>
    <row r="9" spans="1:40" x14ac:dyDescent="0.2">
      <c r="A9" s="22"/>
      <c r="B9" s="22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81"/>
      <c r="W9" s="120"/>
      <c r="X9" s="81"/>
      <c r="Y9" s="81"/>
      <c r="Z9" s="81"/>
      <c r="AA9" s="81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112"/>
    </row>
    <row r="10" spans="1:40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</row>
    <row r="11" spans="1:40" ht="49.5" customHeight="1" x14ac:dyDescent="0.25">
      <c r="A11" s="552" t="s">
        <v>60</v>
      </c>
      <c r="B11" s="552" t="s">
        <v>0</v>
      </c>
      <c r="C11" s="42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23" t="s">
        <v>680</v>
      </c>
      <c r="O11" s="556" t="s">
        <v>643</v>
      </c>
      <c r="P11" s="42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421"/>
      <c r="V11" s="226" t="s">
        <v>16</v>
      </c>
      <c r="W11" s="227" t="s">
        <v>16</v>
      </c>
      <c r="X11" s="226" t="s">
        <v>17</v>
      </c>
      <c r="Y11" s="558" t="s">
        <v>678</v>
      </c>
      <c r="Z11" s="558" t="s">
        <v>687</v>
      </c>
      <c r="AA11" s="226" t="s">
        <v>3</v>
      </c>
      <c r="AB11" s="226" t="s">
        <v>4</v>
      </c>
      <c r="AC11" s="226" t="s">
        <v>5</v>
      </c>
      <c r="AD11" s="226" t="s">
        <v>6</v>
      </c>
      <c r="AE11" s="226" t="s">
        <v>7</v>
      </c>
      <c r="AF11" s="226" t="s">
        <v>8</v>
      </c>
      <c r="AG11" s="226" t="s">
        <v>9</v>
      </c>
      <c r="AH11" s="226" t="s">
        <v>10</v>
      </c>
      <c r="AI11" s="226" t="s">
        <v>11</v>
      </c>
      <c r="AJ11" s="226" t="s">
        <v>12</v>
      </c>
      <c r="AK11" s="226" t="s">
        <v>13</v>
      </c>
      <c r="AL11" s="226" t="s">
        <v>14</v>
      </c>
      <c r="AM11" s="264" t="s">
        <v>682</v>
      </c>
      <c r="AN11" s="228" t="s">
        <v>66</v>
      </c>
    </row>
    <row r="12" spans="1:40" ht="51" x14ac:dyDescent="0.25">
      <c r="A12" s="553"/>
      <c r="B12" s="553"/>
      <c r="C12" s="229" t="s">
        <v>810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422" t="s">
        <v>861</v>
      </c>
      <c r="V12" s="230" t="s">
        <v>21</v>
      </c>
      <c r="W12" s="231" t="s">
        <v>22</v>
      </c>
      <c r="X12" s="230" t="s">
        <v>23</v>
      </c>
      <c r="Y12" s="559"/>
      <c r="Z12" s="559"/>
      <c r="AA12" s="230">
        <v>2015</v>
      </c>
      <c r="AB12" s="230">
        <v>2015</v>
      </c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 t="s">
        <v>67</v>
      </c>
    </row>
    <row r="13" spans="1:40" s="22" customFormat="1" x14ac:dyDescent="0.2">
      <c r="A13" s="172" t="s">
        <v>68</v>
      </c>
      <c r="B13" s="172"/>
      <c r="C13" s="87"/>
      <c r="D13" s="42"/>
      <c r="E13" s="38"/>
      <c r="F13" s="88"/>
      <c r="G13" s="24"/>
      <c r="H13" s="201"/>
      <c r="I13" s="90"/>
      <c r="J13" s="90"/>
      <c r="K13" s="90"/>
      <c r="L13" s="90"/>
      <c r="M13" s="90"/>
      <c r="N13" s="90"/>
      <c r="O13" s="90"/>
      <c r="P13" s="90"/>
      <c r="Q13" s="90"/>
      <c r="R13" s="29"/>
      <c r="S13" s="29"/>
      <c r="T13" s="18"/>
      <c r="U13" s="110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116"/>
      <c r="AL13" s="116"/>
      <c r="AM13" s="116"/>
      <c r="AN13" s="116"/>
    </row>
    <row r="14" spans="1:40" s="22" customFormat="1" x14ac:dyDescent="0.2">
      <c r="A14" s="172" t="s">
        <v>114</v>
      </c>
      <c r="B14" s="145"/>
      <c r="C14" s="87"/>
      <c r="D14" s="8"/>
      <c r="E14" s="38"/>
      <c r="F14" s="24"/>
      <c r="G14" s="24"/>
      <c r="H14" s="256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10"/>
      <c r="V14" s="109"/>
      <c r="W14" s="109"/>
      <c r="X14" s="109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116"/>
      <c r="AL14" s="116"/>
      <c r="AM14" s="116"/>
      <c r="AN14" s="116"/>
    </row>
    <row r="15" spans="1:40" s="22" customFormat="1" x14ac:dyDescent="0.2">
      <c r="A15" s="434" t="s">
        <v>859</v>
      </c>
      <c r="B15" s="434" t="s">
        <v>860</v>
      </c>
      <c r="C15" s="450" t="s">
        <v>857</v>
      </c>
      <c r="D15" s="435">
        <v>10</v>
      </c>
      <c r="E15" s="451">
        <v>0.1</v>
      </c>
      <c r="F15" s="437">
        <v>42334</v>
      </c>
      <c r="G15" s="438">
        <v>120</v>
      </c>
      <c r="H15" s="439">
        <f>100/G15</f>
        <v>0.83333333333333337</v>
      </c>
      <c r="I15" s="440">
        <f>H15*J15</f>
        <v>0</v>
      </c>
      <c r="J15" s="438">
        <f>(YEAR(F15)-YEAR(S15))*12+MONTH(F15)-MONTH(S15)</f>
        <v>0</v>
      </c>
      <c r="K15" s="440">
        <f>L15*H15</f>
        <v>100</v>
      </c>
      <c r="L15" s="438">
        <f>G15-J15</f>
        <v>120</v>
      </c>
      <c r="M15" s="440">
        <f>N15*H15</f>
        <v>0.83333333333333337</v>
      </c>
      <c r="N15" s="438">
        <v>1</v>
      </c>
      <c r="O15" s="440">
        <f>P15*H15</f>
        <v>99.166666666666671</v>
      </c>
      <c r="P15" s="438">
        <f t="shared" ref="P15" si="0">L15-N15</f>
        <v>119</v>
      </c>
      <c r="Q15" s="438">
        <v>0</v>
      </c>
      <c r="R15" s="438">
        <v>291</v>
      </c>
      <c r="S15" s="437">
        <v>42334</v>
      </c>
      <c r="T15" s="443">
        <v>1049</v>
      </c>
      <c r="U15" s="445">
        <f>H15*T15/100</f>
        <v>8.7416666666666671</v>
      </c>
      <c r="V15" s="447">
        <v>115.958</v>
      </c>
      <c r="W15" s="447">
        <v>118.051</v>
      </c>
      <c r="X15" s="447">
        <f>V15/W15</f>
        <v>0.98227037466857536</v>
      </c>
      <c r="Y15" s="447">
        <f>U15</f>
        <v>8.7416666666666671</v>
      </c>
      <c r="Z15" s="447">
        <f>Y15*X15</f>
        <v>8.5866801918944642</v>
      </c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8"/>
      <c r="AL15" s="448">
        <f>8.59</f>
        <v>8.59</v>
      </c>
      <c r="AM15" s="448">
        <f>8.59</f>
        <v>8.59</v>
      </c>
      <c r="AN15" s="448">
        <f>T15-AM15</f>
        <v>1040.4100000000001</v>
      </c>
    </row>
    <row r="16" spans="1:40" x14ac:dyDescent="0.2">
      <c r="D16" s="27"/>
      <c r="E16" s="27"/>
      <c r="R16" s="243"/>
      <c r="S16" s="28"/>
      <c r="T16" s="16"/>
      <c r="U16" s="16"/>
      <c r="W16" s="121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374"/>
      <c r="AM16" s="509"/>
      <c r="AN16" s="263"/>
    </row>
    <row r="17" spans="1:40" x14ac:dyDescent="0.2">
      <c r="A17" s="156" t="s">
        <v>460</v>
      </c>
      <c r="B17" s="132"/>
      <c r="C17" s="132"/>
      <c r="D17" s="133"/>
      <c r="E17" s="133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4"/>
      <c r="S17" s="134"/>
      <c r="T17" s="135"/>
      <c r="U17" s="135"/>
      <c r="W17" s="121"/>
      <c r="AM17" s="22"/>
      <c r="AN17" s="113"/>
    </row>
    <row r="18" spans="1:40" x14ac:dyDescent="0.2">
      <c r="A18" s="471"/>
      <c r="B18" s="22"/>
      <c r="C18" s="22"/>
      <c r="D18" s="80"/>
      <c r="E18" s="8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9"/>
      <c r="S18" s="79"/>
      <c r="T18" s="56"/>
      <c r="U18" s="56"/>
      <c r="V18" s="22"/>
      <c r="W18" s="130"/>
      <c r="Z18" s="16"/>
      <c r="AM18" s="510"/>
      <c r="AN18" s="113"/>
    </row>
    <row r="19" spans="1:40" x14ac:dyDescent="0.2">
      <c r="A19" s="560"/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239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</row>
    <row r="20" spans="1:40" x14ac:dyDescent="0.2">
      <c r="A20" s="560"/>
      <c r="B20" s="560"/>
      <c r="C20" s="560"/>
      <c r="D20" s="560"/>
      <c r="E20" s="560"/>
      <c r="F20" s="560"/>
      <c r="G20" s="560"/>
      <c r="H20" s="560"/>
      <c r="I20" s="560"/>
      <c r="J20" s="560"/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121"/>
      <c r="AN20" s="113"/>
    </row>
    <row r="21" spans="1:40" x14ac:dyDescent="0.2">
      <c r="D21" s="27"/>
      <c r="E21" s="27"/>
      <c r="R21" s="28"/>
      <c r="S21" s="28"/>
      <c r="T21" s="16"/>
      <c r="U21" s="16"/>
      <c r="W21" s="121"/>
      <c r="AN21" s="113"/>
    </row>
  </sheetData>
  <mergeCells count="22">
    <mergeCell ref="A19:V20"/>
    <mergeCell ref="R11:R12"/>
    <mergeCell ref="S11:S12"/>
    <mergeCell ref="T11:T12"/>
    <mergeCell ref="J11:J12"/>
    <mergeCell ref="K11:K12"/>
    <mergeCell ref="L11:L12"/>
    <mergeCell ref="M11:M12"/>
    <mergeCell ref="O11:O12"/>
    <mergeCell ref="Q11:Q12"/>
    <mergeCell ref="D10:P10"/>
    <mergeCell ref="R10:T10"/>
    <mergeCell ref="U10:AN10"/>
    <mergeCell ref="A11:A12"/>
    <mergeCell ref="B11:B12"/>
    <mergeCell ref="E11:E12"/>
    <mergeCell ref="F11:F12"/>
    <mergeCell ref="G11:G12"/>
    <mergeCell ref="H11:H12"/>
    <mergeCell ref="I11:I12"/>
    <mergeCell ref="Y11:Y12"/>
    <mergeCell ref="Z11:Z12"/>
  </mergeCells>
  <pageMargins left="0.59055118110236227" right="0.19685039370078741" top="0.39370078740157483" bottom="0.39370078740157483" header="0.31496062992125984" footer="0.31496062992125984"/>
  <pageSetup paperSize="5" scale="52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Q36"/>
  <sheetViews>
    <sheetView topLeftCell="R9" zoomScale="110" zoomScaleNormal="110" workbookViewId="0">
      <selection activeCell="AA19" sqref="AA1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57031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484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7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2" t="s">
        <v>680</v>
      </c>
      <c r="O11" s="556" t="s">
        <v>643</v>
      </c>
      <c r="P11" s="27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485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172" t="s">
        <v>68</v>
      </c>
      <c r="B13" s="172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172" t="s">
        <v>69</v>
      </c>
      <c r="B14" s="180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171" t="s">
        <v>156</v>
      </c>
      <c r="B15" s="145" t="s">
        <v>703</v>
      </c>
      <c r="C15" s="87" t="s">
        <v>485</v>
      </c>
      <c r="D15" s="101">
        <v>10</v>
      </c>
      <c r="E15" s="184">
        <v>0.1</v>
      </c>
      <c r="F15" s="88">
        <v>42185</v>
      </c>
      <c r="G15" s="90">
        <v>120</v>
      </c>
      <c r="H15" s="201">
        <f t="shared" ref="H15:H16" si="0">100/G15</f>
        <v>0.83333333333333337</v>
      </c>
      <c r="I15" s="233">
        <f>H15*J15</f>
        <v>33.333333333333336</v>
      </c>
      <c r="J15" s="90">
        <f>(YEAR(F15)-YEAR(S15))*12+MONTH(F15)-MONTH(S15)</f>
        <v>40</v>
      </c>
      <c r="K15" s="233">
        <f t="shared" ref="K15:K16" si="1">L15*H15</f>
        <v>66.666666666666671</v>
      </c>
      <c r="L15" s="90">
        <f t="shared" ref="L15:L17" si="2">G15-J15</f>
        <v>80</v>
      </c>
      <c r="M15" s="233">
        <f t="shared" ref="M15:M16" si="3">N15*H15</f>
        <v>5.8333333333333339</v>
      </c>
      <c r="N15" s="90">
        <v>7</v>
      </c>
      <c r="O15" s="233">
        <f t="shared" ref="O15:O16" si="4">P15*H15</f>
        <v>60.833333333333336</v>
      </c>
      <c r="P15" s="90">
        <f t="shared" ref="P15:P16" si="5">L15-N15</f>
        <v>73</v>
      </c>
      <c r="Q15" s="88">
        <v>42428</v>
      </c>
      <c r="R15" s="88" t="s">
        <v>595</v>
      </c>
      <c r="S15" s="182">
        <v>40940</v>
      </c>
      <c r="T15" s="183">
        <v>3866.87</v>
      </c>
      <c r="U15" s="89">
        <v>2610.1799999999998</v>
      </c>
      <c r="V15" s="152">
        <v>161.1</v>
      </c>
      <c r="W15" s="233">
        <v>0</v>
      </c>
      <c r="X15" s="100">
        <v>115.958</v>
      </c>
      <c r="Y15" s="125">
        <v>104.496</v>
      </c>
      <c r="Z15" s="100">
        <f>X15/Y15</f>
        <v>1.1096884091257082</v>
      </c>
      <c r="AA15" s="98">
        <f>U15*M15/100/K15*100/7</f>
        <v>32.627249999999997</v>
      </c>
      <c r="AB15" s="98">
        <f>AA15*Z15</f>
        <v>36.20608114664676</v>
      </c>
      <c r="AC15" s="98"/>
      <c r="AD15" s="98"/>
      <c r="AE15" s="98"/>
      <c r="AF15" s="98"/>
      <c r="AG15" s="98"/>
      <c r="AH15" s="98">
        <v>36.21</v>
      </c>
      <c r="AI15" s="98">
        <v>36.21</v>
      </c>
      <c r="AJ15" s="98">
        <v>36.21</v>
      </c>
      <c r="AK15" s="98">
        <v>36.21</v>
      </c>
      <c r="AL15" s="98">
        <v>36.21</v>
      </c>
      <c r="AM15" s="98">
        <v>36.21</v>
      </c>
      <c r="AN15" s="98">
        <v>36.21</v>
      </c>
      <c r="AO15" s="98">
        <f>SUM(AC15:AN15)</f>
        <v>253.47000000000003</v>
      </c>
      <c r="AP15" s="116">
        <f>U15-AO15</f>
        <v>2356.71</v>
      </c>
      <c r="AQ15" s="168"/>
    </row>
    <row r="16" spans="1:43" s="22" customFormat="1" x14ac:dyDescent="0.2">
      <c r="A16" s="171" t="s">
        <v>156</v>
      </c>
      <c r="B16" s="145" t="s">
        <v>584</v>
      </c>
      <c r="C16" s="87" t="s">
        <v>485</v>
      </c>
      <c r="D16" s="101">
        <v>10</v>
      </c>
      <c r="E16" s="184">
        <v>0.1</v>
      </c>
      <c r="F16" s="88">
        <v>42185</v>
      </c>
      <c r="G16" s="90">
        <v>120</v>
      </c>
      <c r="H16" s="201">
        <f t="shared" si="0"/>
        <v>0.83333333333333337</v>
      </c>
      <c r="I16" s="233">
        <f>H16*J16</f>
        <v>0</v>
      </c>
      <c r="J16" s="90">
        <v>0</v>
      </c>
      <c r="K16" s="233">
        <f t="shared" si="1"/>
        <v>100</v>
      </c>
      <c r="L16" s="90">
        <f t="shared" ref="L16" si="6">G16-J16</f>
        <v>120</v>
      </c>
      <c r="M16" s="233">
        <f t="shared" si="3"/>
        <v>5.8333333333333339</v>
      </c>
      <c r="N16" s="90">
        <v>7</v>
      </c>
      <c r="O16" s="233">
        <f t="shared" si="4"/>
        <v>94.166666666666671</v>
      </c>
      <c r="P16" s="90">
        <f t="shared" si="5"/>
        <v>113</v>
      </c>
      <c r="Q16" s="88">
        <v>42428</v>
      </c>
      <c r="R16" s="88" t="s">
        <v>711</v>
      </c>
      <c r="S16" s="182">
        <v>42181</v>
      </c>
      <c r="T16" s="183">
        <v>2320</v>
      </c>
      <c r="U16" s="89">
        <v>2320</v>
      </c>
      <c r="V16" s="152">
        <v>0</v>
      </c>
      <c r="W16" s="233">
        <v>0</v>
      </c>
      <c r="X16" s="100">
        <v>115.958</v>
      </c>
      <c r="Y16" s="125">
        <v>104.496</v>
      </c>
      <c r="Z16" s="100">
        <f>X16/Y16</f>
        <v>1.1096884091257082</v>
      </c>
      <c r="AA16" s="98">
        <f>U16*M16/100/K16*100/7</f>
        <v>19.333333333333336</v>
      </c>
      <c r="AB16" s="98">
        <f>AA16*Z16</f>
        <v>21.453975909763695</v>
      </c>
      <c r="AC16" s="98"/>
      <c r="AD16" s="98"/>
      <c r="AE16" s="98"/>
      <c r="AF16" s="98"/>
      <c r="AG16" s="98"/>
      <c r="AH16" s="98">
        <v>21.45</v>
      </c>
      <c r="AI16" s="98">
        <v>21.45</v>
      </c>
      <c r="AJ16" s="98">
        <v>21.45</v>
      </c>
      <c r="AK16" s="98">
        <v>21.45</v>
      </c>
      <c r="AL16" s="98">
        <v>21.45</v>
      </c>
      <c r="AM16" s="98">
        <v>21.45</v>
      </c>
      <c r="AN16" s="98">
        <v>21.45</v>
      </c>
      <c r="AO16" s="98">
        <f>SUM(AC16:AN16)</f>
        <v>150.14999999999998</v>
      </c>
      <c r="AP16" s="116">
        <f>U16-AO16</f>
        <v>2169.85</v>
      </c>
      <c r="AQ16" s="168"/>
    </row>
    <row r="17" spans="1:43" s="22" customFormat="1" x14ac:dyDescent="0.2">
      <c r="A17" s="171" t="s">
        <v>156</v>
      </c>
      <c r="B17" s="145" t="s">
        <v>714</v>
      </c>
      <c r="C17" s="87" t="s">
        <v>485</v>
      </c>
      <c r="D17" s="101">
        <v>10</v>
      </c>
      <c r="E17" s="184">
        <v>0.1</v>
      </c>
      <c r="F17" s="88">
        <v>42185</v>
      </c>
      <c r="G17" s="90">
        <v>120</v>
      </c>
      <c r="H17" s="201">
        <f t="shared" ref="H17" si="7">100/G17</f>
        <v>0.83333333333333337</v>
      </c>
      <c r="I17" s="233">
        <f>H17*J17</f>
        <v>0</v>
      </c>
      <c r="J17" s="90">
        <v>0</v>
      </c>
      <c r="K17" s="233">
        <f t="shared" ref="K17" si="8">L17*H17</f>
        <v>100</v>
      </c>
      <c r="L17" s="90">
        <f t="shared" si="2"/>
        <v>120</v>
      </c>
      <c r="M17" s="233">
        <f t="shared" ref="M17" si="9">N17*H17</f>
        <v>5.8333333333333339</v>
      </c>
      <c r="N17" s="90">
        <v>7</v>
      </c>
      <c r="O17" s="233">
        <f t="shared" ref="O17" si="10">P17*H17</f>
        <v>94.166666666666671</v>
      </c>
      <c r="P17" s="90">
        <f t="shared" ref="P17" si="11">L17-N17</f>
        <v>113</v>
      </c>
      <c r="Q17" s="88">
        <v>42428</v>
      </c>
      <c r="R17" s="88" t="s">
        <v>642</v>
      </c>
      <c r="S17" s="182">
        <v>42058</v>
      </c>
      <c r="T17" s="183">
        <v>2088</v>
      </c>
      <c r="U17" s="89">
        <v>2088</v>
      </c>
      <c r="V17" s="152">
        <v>0</v>
      </c>
      <c r="W17" s="233">
        <v>0</v>
      </c>
      <c r="X17" s="100">
        <v>115.958</v>
      </c>
      <c r="Y17" s="125">
        <v>104.496</v>
      </c>
      <c r="Z17" s="100">
        <f>X17/Y17</f>
        <v>1.1096884091257082</v>
      </c>
      <c r="AA17" s="98">
        <f>U17*M17/100/K17*100/7</f>
        <v>17.400000000000002</v>
      </c>
      <c r="AB17" s="98">
        <f>AA17*Z17</f>
        <v>19.308578318787326</v>
      </c>
      <c r="AC17" s="98"/>
      <c r="AD17" s="98"/>
      <c r="AE17" s="98"/>
      <c r="AF17" s="98"/>
      <c r="AG17" s="98"/>
      <c r="AH17" s="98">
        <v>19.309999999999999</v>
      </c>
      <c r="AI17" s="98">
        <v>19.309999999999999</v>
      </c>
      <c r="AJ17" s="98">
        <v>19.309999999999999</v>
      </c>
      <c r="AK17" s="98">
        <v>19.309999999999999</v>
      </c>
      <c r="AL17" s="98">
        <v>19.309999999999999</v>
      </c>
      <c r="AM17" s="98">
        <v>19.309999999999999</v>
      </c>
      <c r="AN17" s="98">
        <v>19.309999999999999</v>
      </c>
      <c r="AO17" s="98">
        <f>SUM(AC17:AN17)</f>
        <v>135.16999999999999</v>
      </c>
      <c r="AP17" s="116">
        <f>U17-AO17</f>
        <v>1952.83</v>
      </c>
      <c r="AQ17" s="168"/>
    </row>
    <row r="18" spans="1:43" s="22" customFormat="1" x14ac:dyDescent="0.2">
      <c r="A18" s="172" t="s">
        <v>74</v>
      </c>
      <c r="B18" s="172"/>
      <c r="C18" s="178"/>
      <c r="D18" s="157"/>
      <c r="E18" s="184"/>
      <c r="F18" s="88"/>
      <c r="G18" s="90"/>
      <c r="H18" s="201"/>
      <c r="I18" s="233"/>
      <c r="J18" s="90"/>
      <c r="K18" s="233"/>
      <c r="L18" s="90"/>
      <c r="M18" s="233"/>
      <c r="N18" s="90"/>
      <c r="O18" s="233"/>
      <c r="P18" s="90"/>
      <c r="Q18" s="88"/>
      <c r="R18" s="88"/>
      <c r="S18" s="171"/>
      <c r="T18" s="11"/>
      <c r="U18" s="89"/>
      <c r="V18" s="152"/>
      <c r="W18" s="233"/>
      <c r="X18" s="100"/>
      <c r="Y18" s="128"/>
      <c r="Z18" s="100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116"/>
      <c r="AQ18" s="168"/>
    </row>
    <row r="19" spans="1:43" s="22" customFormat="1" x14ac:dyDescent="0.2">
      <c r="A19" s="172" t="s">
        <v>712</v>
      </c>
      <c r="B19" s="145"/>
      <c r="C19" s="87"/>
      <c r="D19" s="101"/>
      <c r="E19" s="184"/>
      <c r="F19" s="88"/>
      <c r="G19" s="90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171"/>
      <c r="S19" s="182"/>
      <c r="T19" s="183"/>
      <c r="U19" s="18"/>
      <c r="V19" s="152"/>
      <c r="W19" s="110"/>
      <c r="X19" s="100"/>
      <c r="Y19" s="125"/>
      <c r="Z19" s="100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116"/>
    </row>
    <row r="20" spans="1:43" s="22" customFormat="1" x14ac:dyDescent="0.2">
      <c r="A20" s="171" t="s">
        <v>585</v>
      </c>
      <c r="B20" s="145" t="s">
        <v>713</v>
      </c>
      <c r="C20" s="87" t="s">
        <v>485</v>
      </c>
      <c r="D20" s="101">
        <v>10</v>
      </c>
      <c r="E20" s="184">
        <v>0.1</v>
      </c>
      <c r="F20" s="88">
        <v>42185</v>
      </c>
      <c r="G20" s="90">
        <v>120</v>
      </c>
      <c r="H20" s="201">
        <f t="shared" ref="H20" si="12">100/G20</f>
        <v>0.83333333333333337</v>
      </c>
      <c r="I20" s="233">
        <f>H20*J20</f>
        <v>4.166666666666667</v>
      </c>
      <c r="J20" s="90">
        <f>(YEAR(F20)-YEAR(S20))*12+MONTH(F20)-MONTH(S20)</f>
        <v>5</v>
      </c>
      <c r="K20" s="233">
        <f t="shared" ref="K20" si="13">L20*H20</f>
        <v>95.833333333333343</v>
      </c>
      <c r="L20" s="90">
        <f t="shared" ref="L20" si="14">G20-J20</f>
        <v>115</v>
      </c>
      <c r="M20" s="233">
        <f t="shared" ref="M20" si="15">N20*H20</f>
        <v>5.8333333333333339</v>
      </c>
      <c r="N20" s="90">
        <v>7</v>
      </c>
      <c r="O20" s="233">
        <f t="shared" ref="O20" si="16">P20*H20</f>
        <v>90</v>
      </c>
      <c r="P20" s="90">
        <f t="shared" ref="P20" si="17">L20-N20</f>
        <v>108</v>
      </c>
      <c r="Q20" s="90"/>
      <c r="R20" s="171" t="s">
        <v>604</v>
      </c>
      <c r="S20" s="182">
        <v>42016</v>
      </c>
      <c r="T20" s="183">
        <v>1276</v>
      </c>
      <c r="U20" s="89">
        <v>1276</v>
      </c>
      <c r="V20" s="152">
        <v>0</v>
      </c>
      <c r="W20" s="233">
        <v>0</v>
      </c>
      <c r="X20" s="100">
        <v>115.958</v>
      </c>
      <c r="Y20" s="125">
        <v>117.16200000000001</v>
      </c>
      <c r="Z20" s="100">
        <f>X20/Y20</f>
        <v>0.98972363052866963</v>
      </c>
      <c r="AA20" s="98">
        <f>U20*M20/100/K20*100/7</f>
        <v>11.095652173913042</v>
      </c>
      <c r="AB20" s="98">
        <f>AA20*Z20</f>
        <v>10.981629152648541</v>
      </c>
      <c r="AC20" s="98"/>
      <c r="AD20" s="98"/>
      <c r="AE20" s="98"/>
      <c r="AF20" s="98"/>
      <c r="AG20" s="98"/>
      <c r="AH20" s="98">
        <v>10.98</v>
      </c>
      <c r="AI20" s="98">
        <v>10.98</v>
      </c>
      <c r="AJ20" s="98">
        <v>10.98</v>
      </c>
      <c r="AK20" s="98">
        <v>10.98</v>
      </c>
      <c r="AL20" s="98">
        <v>10.98</v>
      </c>
      <c r="AM20" s="98">
        <v>10.98</v>
      </c>
      <c r="AN20" s="98">
        <v>10.98</v>
      </c>
      <c r="AO20" s="98">
        <f>SUM(AC20:AN20)</f>
        <v>76.860000000000014</v>
      </c>
      <c r="AP20" s="116">
        <f>U20-AO20</f>
        <v>1199.1399999999999</v>
      </c>
    </row>
    <row r="21" spans="1:43" s="22" customFormat="1" x14ac:dyDescent="0.2">
      <c r="A21" s="172" t="s">
        <v>74</v>
      </c>
      <c r="B21" s="172" t="s">
        <v>704</v>
      </c>
      <c r="C21" s="178"/>
      <c r="D21" s="157"/>
      <c r="E21" s="184"/>
      <c r="F21" s="88"/>
      <c r="G21" s="90"/>
      <c r="H21" s="201"/>
      <c r="I21" s="233"/>
      <c r="J21" s="90"/>
      <c r="K21" s="233"/>
      <c r="L21" s="90"/>
      <c r="M21" s="233"/>
      <c r="N21" s="90"/>
      <c r="O21" s="233"/>
      <c r="P21" s="90"/>
      <c r="Q21" s="88"/>
      <c r="R21" s="88"/>
      <c r="S21" s="171"/>
      <c r="T21" s="11"/>
      <c r="U21" s="89"/>
      <c r="V21" s="152"/>
      <c r="W21" s="233"/>
      <c r="X21" s="100"/>
      <c r="Y21" s="128"/>
      <c r="Z21" s="100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116"/>
      <c r="AQ21" s="168"/>
    </row>
    <row r="22" spans="1:43" s="22" customFormat="1" x14ac:dyDescent="0.2">
      <c r="A22" s="172" t="s">
        <v>129</v>
      </c>
      <c r="B22" s="145"/>
      <c r="C22" s="87"/>
      <c r="D22" s="101"/>
      <c r="E22" s="184"/>
      <c r="F22" s="88"/>
      <c r="G22" s="90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171"/>
      <c r="S22" s="182"/>
      <c r="T22" s="183"/>
      <c r="U22" s="18"/>
      <c r="V22" s="152"/>
      <c r="W22" s="110"/>
      <c r="X22" s="100"/>
      <c r="Y22" s="125"/>
      <c r="Z22" s="10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</row>
    <row r="23" spans="1:43" s="22" customFormat="1" x14ac:dyDescent="0.2">
      <c r="A23" s="171" t="s">
        <v>705</v>
      </c>
      <c r="B23" s="145" t="s">
        <v>706</v>
      </c>
      <c r="C23" s="87" t="s">
        <v>485</v>
      </c>
      <c r="D23" s="101">
        <v>10</v>
      </c>
      <c r="E23" s="184">
        <v>0.1</v>
      </c>
      <c r="F23" s="88">
        <v>42185</v>
      </c>
      <c r="G23" s="90">
        <v>120</v>
      </c>
      <c r="H23" s="201">
        <f t="shared" ref="H23" si="18">100/G23</f>
        <v>0.83333333333333337</v>
      </c>
      <c r="I23" s="233">
        <f>H23*J23</f>
        <v>93.333333333333343</v>
      </c>
      <c r="J23" s="90">
        <f>(YEAR(F23)-YEAR(S23))*12+MONTH(F23)-MONTH(S23)</f>
        <v>112</v>
      </c>
      <c r="K23" s="233">
        <f t="shared" ref="K23" si="19">L23*H23</f>
        <v>6.666666666666667</v>
      </c>
      <c r="L23" s="90">
        <f t="shared" ref="L23" si="20">G23-J23</f>
        <v>8</v>
      </c>
      <c r="M23" s="233">
        <f t="shared" ref="M23" si="21">N23*H23</f>
        <v>5.8333333333333339</v>
      </c>
      <c r="N23" s="90">
        <v>7</v>
      </c>
      <c r="O23" s="233">
        <f t="shared" ref="O23" si="22">P23*H23</f>
        <v>0.83333333333333337</v>
      </c>
      <c r="P23" s="90">
        <f t="shared" ref="P23" si="23">L23-N23</f>
        <v>1</v>
      </c>
      <c r="Q23" s="90"/>
      <c r="R23" s="171" t="s">
        <v>595</v>
      </c>
      <c r="S23" s="182">
        <v>38749</v>
      </c>
      <c r="T23" s="183">
        <v>700</v>
      </c>
      <c r="U23" s="89">
        <v>52.54</v>
      </c>
      <c r="V23" s="152">
        <v>29.15</v>
      </c>
      <c r="W23" s="233">
        <v>0</v>
      </c>
      <c r="X23" s="100">
        <v>115.958</v>
      </c>
      <c r="Y23" s="125">
        <v>117.16200000000001</v>
      </c>
      <c r="Z23" s="100">
        <f>X23/Y23</f>
        <v>0.98972363052866963</v>
      </c>
      <c r="AA23" s="98">
        <f>U23*M23/100/K23*100/7</f>
        <v>6.5674999999999999</v>
      </c>
      <c r="AB23" s="98">
        <f>AA23*Z23</f>
        <v>6.5000099434970373</v>
      </c>
      <c r="AC23" s="98"/>
      <c r="AD23" s="98"/>
      <c r="AE23" s="98"/>
      <c r="AF23" s="98"/>
      <c r="AG23" s="98"/>
      <c r="AH23" s="98">
        <v>6.5</v>
      </c>
      <c r="AI23" s="98">
        <v>6.5</v>
      </c>
      <c r="AJ23" s="98">
        <v>6.5</v>
      </c>
      <c r="AK23" s="98">
        <v>6.5</v>
      </c>
      <c r="AL23" s="98">
        <v>6.5</v>
      </c>
      <c r="AM23" s="98">
        <v>6.5</v>
      </c>
      <c r="AN23" s="98">
        <v>12.54</v>
      </c>
      <c r="AO23" s="98">
        <f>SUM(AC23:AN23)</f>
        <v>51.54</v>
      </c>
      <c r="AP23" s="116">
        <f>U23-AO23</f>
        <v>1</v>
      </c>
    </row>
    <row r="24" spans="1:43" s="22" customFormat="1" x14ac:dyDescent="0.2">
      <c r="A24" s="172" t="s">
        <v>74</v>
      </c>
      <c r="B24" s="172" t="s">
        <v>90</v>
      </c>
      <c r="C24" s="178"/>
      <c r="D24" s="157"/>
      <c r="E24" s="184"/>
      <c r="F24" s="88"/>
      <c r="G24" s="90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1"/>
      <c r="S24" s="171"/>
      <c r="T24" s="11"/>
      <c r="U24" s="89"/>
      <c r="V24" s="152"/>
      <c r="W24" s="233"/>
      <c r="X24" s="100"/>
      <c r="Y24" s="128"/>
      <c r="Z24" s="100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116"/>
    </row>
    <row r="25" spans="1:43" s="22" customFormat="1" x14ac:dyDescent="0.2">
      <c r="A25" s="172" t="s">
        <v>110</v>
      </c>
      <c r="B25" s="145"/>
      <c r="C25" s="87"/>
      <c r="D25" s="101"/>
      <c r="E25" s="184"/>
      <c r="F25" s="88"/>
      <c r="G25" s="90"/>
      <c r="H25" s="201"/>
      <c r="I25" s="233"/>
      <c r="J25" s="90"/>
      <c r="K25" s="233"/>
      <c r="L25" s="90"/>
      <c r="M25" s="233"/>
      <c r="N25" s="90"/>
      <c r="O25" s="233"/>
      <c r="P25" s="90"/>
      <c r="Q25" s="90"/>
      <c r="R25" s="171"/>
      <c r="S25" s="182"/>
      <c r="T25" s="183"/>
      <c r="U25" s="89"/>
      <c r="V25" s="152"/>
      <c r="W25" s="233"/>
      <c r="X25" s="100"/>
      <c r="Y25" s="125"/>
      <c r="Z25" s="100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116"/>
    </row>
    <row r="26" spans="1:43" s="22" customFormat="1" x14ac:dyDescent="0.2">
      <c r="A26" s="171" t="s">
        <v>157</v>
      </c>
      <c r="B26" s="145" t="s">
        <v>707</v>
      </c>
      <c r="C26" s="87" t="s">
        <v>485</v>
      </c>
      <c r="D26" s="101">
        <v>10</v>
      </c>
      <c r="E26" s="184">
        <v>0.1</v>
      </c>
      <c r="F26" s="88">
        <v>42185</v>
      </c>
      <c r="G26" s="90">
        <v>120</v>
      </c>
      <c r="H26" s="201">
        <f t="shared" ref="H26" si="24">100/G26</f>
        <v>0.83333333333333337</v>
      </c>
      <c r="I26" s="233">
        <f>H26*J26</f>
        <v>33.333333333333336</v>
      </c>
      <c r="J26" s="90">
        <f>(YEAR(F26)-YEAR(S26))*12+MONTH(F26)-MONTH(S26)</f>
        <v>40</v>
      </c>
      <c r="K26" s="233">
        <f t="shared" ref="K26" si="25">L26*H26</f>
        <v>66.666666666666671</v>
      </c>
      <c r="L26" s="90">
        <f t="shared" ref="L26" si="26">G26-J26</f>
        <v>80</v>
      </c>
      <c r="M26" s="233">
        <f t="shared" ref="M26" si="27">N26*H26</f>
        <v>5.8333333333333339</v>
      </c>
      <c r="N26" s="90">
        <v>7</v>
      </c>
      <c r="O26" s="233">
        <f t="shared" ref="O26" si="28">P26*H26</f>
        <v>60.833333333333336</v>
      </c>
      <c r="P26" s="90">
        <f t="shared" ref="P26" si="29">L26-N26</f>
        <v>73</v>
      </c>
      <c r="Q26" s="90"/>
      <c r="R26" s="171" t="s">
        <v>595</v>
      </c>
      <c r="S26" s="182">
        <v>40940</v>
      </c>
      <c r="T26" s="183">
        <v>560</v>
      </c>
      <c r="U26" s="89">
        <v>377.96</v>
      </c>
      <c r="V26" s="152">
        <v>23.35</v>
      </c>
      <c r="W26" s="233">
        <v>0</v>
      </c>
      <c r="X26" s="100">
        <v>115.958</v>
      </c>
      <c r="Y26" s="125">
        <v>104.496</v>
      </c>
      <c r="Z26" s="100">
        <f>X26/Y26</f>
        <v>1.1096884091257082</v>
      </c>
      <c r="AA26" s="98">
        <f>U26*M26/100/K26*100/7</f>
        <v>4.7244999999999999</v>
      </c>
      <c r="AB26" s="98">
        <f>AA26*Z26</f>
        <v>5.2427228889144084</v>
      </c>
      <c r="AC26" s="98"/>
      <c r="AD26" s="98"/>
      <c r="AE26" s="98"/>
      <c r="AF26" s="98"/>
      <c r="AG26" s="98"/>
      <c r="AH26" s="98">
        <v>5.24</v>
      </c>
      <c r="AI26" s="98">
        <v>5.24</v>
      </c>
      <c r="AJ26" s="98">
        <v>5.24</v>
      </c>
      <c r="AK26" s="98">
        <v>5.24</v>
      </c>
      <c r="AL26" s="98">
        <v>5.24</v>
      </c>
      <c r="AM26" s="98">
        <v>5.24</v>
      </c>
      <c r="AN26" s="98">
        <v>5.24</v>
      </c>
      <c r="AO26" s="98">
        <f>SUM(AC26:AN26)</f>
        <v>36.680000000000007</v>
      </c>
      <c r="AP26" s="116">
        <f>U26-AO26</f>
        <v>341.28</v>
      </c>
    </row>
    <row r="27" spans="1:43" s="22" customFormat="1" x14ac:dyDescent="0.2">
      <c r="A27" s="171" t="s">
        <v>157</v>
      </c>
      <c r="B27" s="145" t="s">
        <v>708</v>
      </c>
      <c r="C27" s="87" t="s">
        <v>485</v>
      </c>
      <c r="D27" s="101">
        <v>10</v>
      </c>
      <c r="E27" s="184">
        <v>0.1</v>
      </c>
      <c r="F27" s="88">
        <v>42185</v>
      </c>
      <c r="G27" s="90">
        <v>120</v>
      </c>
      <c r="H27" s="201">
        <f t="shared" ref="H27" si="30">100/G27</f>
        <v>0.83333333333333337</v>
      </c>
      <c r="I27" s="233">
        <f>H27*J27</f>
        <v>17.5</v>
      </c>
      <c r="J27" s="90">
        <f>(YEAR(F27)-YEAR(S27))*12+MONTH(F27)-MONTH(S27)</f>
        <v>21</v>
      </c>
      <c r="K27" s="233">
        <f t="shared" ref="K27" si="31">L27*H27</f>
        <v>82.5</v>
      </c>
      <c r="L27" s="90">
        <f t="shared" ref="L27" si="32">G27-J27</f>
        <v>99</v>
      </c>
      <c r="M27" s="233">
        <f t="shared" ref="M27" si="33">N27*H27</f>
        <v>5.8333333333333339</v>
      </c>
      <c r="N27" s="90">
        <v>7</v>
      </c>
      <c r="O27" s="233">
        <f t="shared" ref="O27" si="34">P27*H27</f>
        <v>76.666666666666671</v>
      </c>
      <c r="P27" s="90">
        <f t="shared" ref="P27" si="35">L27-N27</f>
        <v>92</v>
      </c>
      <c r="Q27" s="90"/>
      <c r="R27" s="171" t="s">
        <v>710</v>
      </c>
      <c r="S27" s="182">
        <v>41518</v>
      </c>
      <c r="T27" s="183">
        <v>629</v>
      </c>
      <c r="U27" s="89">
        <v>524.19000000000005</v>
      </c>
      <c r="V27" s="152">
        <v>26.2</v>
      </c>
      <c r="W27" s="233">
        <v>0</v>
      </c>
      <c r="X27" s="100">
        <v>115.958</v>
      </c>
      <c r="Y27" s="125">
        <v>109.328</v>
      </c>
      <c r="Z27" s="100">
        <f>X27/Y27</f>
        <v>1.0606432021074199</v>
      </c>
      <c r="AA27" s="98">
        <f>U27*M27/100/K27*100/7</f>
        <v>5.2948484848484858</v>
      </c>
      <c r="AB27" s="98">
        <f>AA27*Z27</f>
        <v>5.6159450516433189</v>
      </c>
      <c r="AC27" s="98"/>
      <c r="AD27" s="98"/>
      <c r="AE27" s="98"/>
      <c r="AF27" s="98"/>
      <c r="AG27" s="98"/>
      <c r="AH27" s="98">
        <v>5.37</v>
      </c>
      <c r="AI27" s="98">
        <v>5.37</v>
      </c>
      <c r="AJ27" s="98">
        <v>5.37</v>
      </c>
      <c r="AK27" s="98">
        <v>5.37</v>
      </c>
      <c r="AL27" s="98">
        <v>5.37</v>
      </c>
      <c r="AM27" s="98">
        <v>5.37</v>
      </c>
      <c r="AN27" s="98">
        <v>5.37</v>
      </c>
      <c r="AO27" s="98">
        <f>SUM(AC27:AN27)</f>
        <v>37.589999999999996</v>
      </c>
      <c r="AP27" s="116">
        <f>U27-AO27</f>
        <v>486.60000000000008</v>
      </c>
    </row>
    <row r="28" spans="1:43" s="22" customFormat="1" x14ac:dyDescent="0.2">
      <c r="A28" s="172" t="s">
        <v>73</v>
      </c>
      <c r="B28" s="172" t="s">
        <v>159</v>
      </c>
      <c r="C28" s="87"/>
      <c r="D28" s="101"/>
      <c r="E28" s="184"/>
      <c r="F28" s="88"/>
      <c r="G28" s="90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171"/>
      <c r="S28" s="182"/>
      <c r="T28" s="183"/>
      <c r="U28" s="89"/>
      <c r="V28" s="152"/>
      <c r="W28" s="233"/>
      <c r="X28" s="100"/>
      <c r="Y28" s="125"/>
      <c r="Z28" s="100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16"/>
    </row>
    <row r="29" spans="1:43" s="22" customFormat="1" x14ac:dyDescent="0.2">
      <c r="A29" s="172" t="s">
        <v>158</v>
      </c>
      <c r="B29" s="178"/>
      <c r="C29" s="87"/>
      <c r="D29" s="101"/>
      <c r="E29" s="184"/>
      <c r="F29" s="88"/>
      <c r="G29" s="90"/>
      <c r="H29" s="201"/>
      <c r="I29" s="233"/>
      <c r="J29" s="90"/>
      <c r="K29" s="233"/>
      <c r="L29" s="90"/>
      <c r="M29" s="233"/>
      <c r="N29" s="90"/>
      <c r="O29" s="233"/>
      <c r="P29" s="90"/>
      <c r="Q29" s="90"/>
      <c r="R29" s="171"/>
      <c r="S29" s="182"/>
      <c r="T29" s="183"/>
      <c r="U29" s="89"/>
      <c r="V29" s="152"/>
      <c r="W29" s="233"/>
      <c r="X29" s="100"/>
      <c r="Y29" s="125"/>
      <c r="Z29" s="100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116"/>
    </row>
    <row r="30" spans="1:43" s="22" customFormat="1" x14ac:dyDescent="0.2">
      <c r="A30" s="171" t="s">
        <v>487</v>
      </c>
      <c r="B30" s="145" t="s">
        <v>709</v>
      </c>
      <c r="C30" s="87" t="s">
        <v>485</v>
      </c>
      <c r="D30" s="101">
        <v>10</v>
      </c>
      <c r="E30" s="184">
        <v>0.1</v>
      </c>
      <c r="F30" s="88">
        <v>42185</v>
      </c>
      <c r="G30" s="90">
        <v>36</v>
      </c>
      <c r="H30" s="201">
        <f t="shared" ref="H30" si="36">100/G30</f>
        <v>2.7777777777777777</v>
      </c>
      <c r="I30" s="233">
        <f>H30*J30</f>
        <v>0</v>
      </c>
      <c r="J30" s="90">
        <v>0</v>
      </c>
      <c r="K30" s="233">
        <f t="shared" ref="K30" si="37">L30*H30</f>
        <v>0</v>
      </c>
      <c r="L30" s="90">
        <v>0</v>
      </c>
      <c r="M30" s="233">
        <f t="shared" ref="M30" si="38">N30*H30</f>
        <v>0</v>
      </c>
      <c r="N30" s="90">
        <v>0</v>
      </c>
      <c r="O30" s="233">
        <f t="shared" ref="O30" si="39">P30*H30</f>
        <v>0</v>
      </c>
      <c r="P30" s="90">
        <f t="shared" ref="P30" si="40">L30-N30</f>
        <v>0</v>
      </c>
      <c r="Q30" s="90"/>
      <c r="R30" s="171" t="s">
        <v>595</v>
      </c>
      <c r="S30" s="182">
        <v>40940</v>
      </c>
      <c r="T30" s="11">
        <v>400</v>
      </c>
      <c r="U30" s="89">
        <v>270.04000000000002</v>
      </c>
      <c r="V30" s="152">
        <v>16.649999999999999</v>
      </c>
      <c r="W30" s="233">
        <v>0</v>
      </c>
      <c r="X30" s="100">
        <v>115.958</v>
      </c>
      <c r="Y30" s="125">
        <v>104.496</v>
      </c>
      <c r="Z30" s="100">
        <f>X30/Y30</f>
        <v>1.1096884091257082</v>
      </c>
      <c r="AA30" s="98">
        <f>U30/7</f>
        <v>38.57714285714286</v>
      </c>
      <c r="AB30" s="98">
        <f>AA30*Z30</f>
        <v>42.808608285758041</v>
      </c>
      <c r="AC30" s="98"/>
      <c r="AD30" s="98"/>
      <c r="AE30" s="98"/>
      <c r="AF30" s="98"/>
      <c r="AG30" s="98"/>
      <c r="AH30" s="98">
        <v>42.81</v>
      </c>
      <c r="AI30" s="98">
        <v>42.81</v>
      </c>
      <c r="AJ30" s="98">
        <v>42.81</v>
      </c>
      <c r="AK30" s="98">
        <v>42.81</v>
      </c>
      <c r="AL30" s="98">
        <v>42.81</v>
      </c>
      <c r="AM30" s="98">
        <v>42.81</v>
      </c>
      <c r="AN30" s="98">
        <v>12.18</v>
      </c>
      <c r="AO30" s="98">
        <f>SUM(AC30:AN30)</f>
        <v>269.04000000000002</v>
      </c>
      <c r="AP30" s="116">
        <f>U30-AO30</f>
        <v>1</v>
      </c>
    </row>
    <row r="31" spans="1:43" x14ac:dyDescent="0.2">
      <c r="R31" s="243"/>
      <c r="V31" s="263"/>
      <c r="W31" s="263">
        <f t="shared" ref="W31:AH31" si="41">SUM(W14:W30)</f>
        <v>0</v>
      </c>
      <c r="X31" s="263"/>
      <c r="Y31" s="263"/>
      <c r="Z31" s="263"/>
      <c r="AA31" s="263"/>
      <c r="AB31" s="263"/>
      <c r="AC31" s="263">
        <f t="shared" si="41"/>
        <v>0</v>
      </c>
      <c r="AD31" s="263">
        <f t="shared" si="41"/>
        <v>0</v>
      </c>
      <c r="AE31" s="263">
        <f t="shared" si="41"/>
        <v>0</v>
      </c>
      <c r="AF31" s="263">
        <f t="shared" si="41"/>
        <v>0</v>
      </c>
      <c r="AG31" s="263">
        <f t="shared" si="41"/>
        <v>0</v>
      </c>
      <c r="AH31" s="263">
        <f t="shared" si="41"/>
        <v>147.87</v>
      </c>
      <c r="AI31" s="263"/>
      <c r="AJ31" s="263"/>
      <c r="AK31" s="263"/>
      <c r="AL31" s="263"/>
      <c r="AM31" s="263"/>
      <c r="AN31" s="374">
        <f t="shared" ref="AN31:AP31" si="42">SUM(AN14:AN30)</f>
        <v>123.28</v>
      </c>
      <c r="AO31" s="263">
        <f t="shared" si="42"/>
        <v>1010.5</v>
      </c>
      <c r="AP31" s="263">
        <f t="shared" si="42"/>
        <v>8508.409999999998</v>
      </c>
    </row>
    <row r="32" spans="1:43" s="150" customFormat="1" x14ac:dyDescent="0.2">
      <c r="A32" s="156" t="s">
        <v>460</v>
      </c>
      <c r="B32" s="132"/>
      <c r="C32" s="132"/>
      <c r="D32" s="133"/>
      <c r="E32" s="133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4"/>
      <c r="S32" s="134"/>
      <c r="T32" s="135"/>
      <c r="U32" s="135"/>
      <c r="W32"/>
      <c r="X32"/>
      <c r="Y32" s="121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 s="113"/>
    </row>
    <row r="33" spans="1:43" s="150" customFormat="1" x14ac:dyDescent="0.2">
      <c r="A33" s="14"/>
      <c r="B33"/>
      <c r="C33"/>
      <c r="D33" s="27"/>
      <c r="E33" s="27"/>
      <c r="F33"/>
      <c r="G33"/>
      <c r="H33"/>
      <c r="I33"/>
      <c r="J33"/>
      <c r="K33"/>
      <c r="L33"/>
      <c r="M33"/>
      <c r="N33"/>
      <c r="O33"/>
      <c r="P33"/>
      <c r="Q33"/>
      <c r="R33" s="28"/>
      <c r="S33" s="28"/>
      <c r="T33" s="16"/>
      <c r="U33" s="16"/>
      <c r="W33"/>
      <c r="X33"/>
      <c r="Y33" s="121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 s="113"/>
    </row>
    <row r="34" spans="1:43" ht="30.75" hidden="1" customHeight="1" x14ac:dyDescent="0.2">
      <c r="A34" s="568" t="s">
        <v>613</v>
      </c>
      <c r="B34" s="568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239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</row>
    <row r="35" spans="1:43" s="121" customFormat="1" hidden="1" x14ac:dyDescent="0.2">
      <c r="A35" s="568"/>
      <c r="B35" s="568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 s="113"/>
      <c r="AQ35"/>
    </row>
    <row r="36" spans="1:43" x14ac:dyDescent="0.2">
      <c r="AO36" s="373"/>
    </row>
  </sheetData>
  <mergeCells count="25"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34:X35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Q23"/>
  <sheetViews>
    <sheetView topLeftCell="X1" zoomScale="145" zoomScaleNormal="145" workbookViewId="0">
      <selection activeCell="AS27" sqref="AS27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customWidth="1"/>
    <col min="35" max="40" width="7.7109375" hidden="1" customWidth="1"/>
    <col min="41" max="41" width="9.28515625" customWidth="1"/>
    <col min="42" max="42" width="10" style="113" customWidth="1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482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7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2" t="s">
        <v>680</v>
      </c>
      <c r="O11" s="556" t="s">
        <v>643</v>
      </c>
      <c r="P11" s="27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483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172" t="s">
        <v>73</v>
      </c>
      <c r="B13" s="172" t="s">
        <v>27</v>
      </c>
      <c r="C13" s="172"/>
      <c r="D13" s="157"/>
      <c r="E13" s="157"/>
      <c r="F13" s="88"/>
      <c r="G13" s="90"/>
      <c r="H13" s="201"/>
      <c r="I13" s="233"/>
      <c r="J13" s="90"/>
      <c r="K13" s="233"/>
      <c r="L13" s="90"/>
      <c r="M13" s="233"/>
      <c r="N13" s="90"/>
      <c r="O13" s="233"/>
      <c r="P13" s="90"/>
      <c r="Q13" s="88"/>
      <c r="R13" s="88"/>
      <c r="S13" s="171"/>
      <c r="T13" s="188"/>
      <c r="U13" s="89"/>
      <c r="V13" s="152"/>
      <c r="W13" s="233"/>
      <c r="X13" s="100"/>
      <c r="Y13" s="125"/>
      <c r="Z13" s="10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  <c r="AQ13" s="168"/>
    </row>
    <row r="14" spans="1:43" s="22" customFormat="1" x14ac:dyDescent="0.2">
      <c r="A14" s="172" t="s">
        <v>72</v>
      </c>
      <c r="B14" s="178"/>
      <c r="C14" s="178"/>
      <c r="D14" s="157"/>
      <c r="E14" s="157"/>
      <c r="F14" s="88"/>
      <c r="G14" s="90"/>
      <c r="H14" s="201"/>
      <c r="I14" s="233"/>
      <c r="J14" s="90"/>
      <c r="K14" s="233"/>
      <c r="L14" s="90"/>
      <c r="M14" s="233"/>
      <c r="N14" s="90"/>
      <c r="O14" s="233"/>
      <c r="P14" s="90"/>
      <c r="Q14" s="88"/>
      <c r="R14" s="88"/>
      <c r="S14" s="171"/>
      <c r="T14" s="188"/>
      <c r="U14" s="89"/>
      <c r="V14" s="152"/>
      <c r="W14" s="233"/>
      <c r="X14" s="100"/>
      <c r="Y14" s="125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  <c r="AQ14" s="168"/>
    </row>
    <row r="15" spans="1:43" s="22" customFormat="1" x14ac:dyDescent="0.2">
      <c r="A15" s="286" t="s">
        <v>361</v>
      </c>
      <c r="B15" s="287" t="s">
        <v>343</v>
      </c>
      <c r="C15" s="288" t="s">
        <v>483</v>
      </c>
      <c r="D15" s="289">
        <f>Q15/12</f>
        <v>3535.6666666666665</v>
      </c>
      <c r="E15" s="290">
        <v>0.33329999999999999</v>
      </c>
      <c r="F15" s="291">
        <v>42185</v>
      </c>
      <c r="G15" s="292">
        <v>120</v>
      </c>
      <c r="H15" s="293">
        <f t="shared" ref="H15" si="0">100/G15</f>
        <v>0.83333333333333337</v>
      </c>
      <c r="I15" s="294">
        <f>H15*J15</f>
        <v>14.166666666666668</v>
      </c>
      <c r="J15" s="292">
        <f>(YEAR(F15)-YEAR(S15))*12+MONTH(F15)-MONTH(S15)</f>
        <v>17</v>
      </c>
      <c r="K15" s="294">
        <f t="shared" ref="K15" si="1">L15*H15</f>
        <v>85.833333333333343</v>
      </c>
      <c r="L15" s="292">
        <f t="shared" ref="L15" si="2">G15-J15</f>
        <v>103</v>
      </c>
      <c r="M15" s="294">
        <f t="shared" ref="M15" si="3">N15*H15</f>
        <v>5.8333333333333339</v>
      </c>
      <c r="N15" s="292">
        <v>7</v>
      </c>
      <c r="O15" s="294">
        <f t="shared" ref="O15" si="4">P15*H15</f>
        <v>80</v>
      </c>
      <c r="P15" s="292">
        <f t="shared" ref="P15" si="5">L15-N15</f>
        <v>96</v>
      </c>
      <c r="Q15" s="291">
        <v>42428</v>
      </c>
      <c r="R15" s="291" t="s">
        <v>716</v>
      </c>
      <c r="S15" s="291">
        <v>41642</v>
      </c>
      <c r="T15" s="295">
        <v>899</v>
      </c>
      <c r="U15" s="295">
        <v>474.51</v>
      </c>
      <c r="V15" s="296">
        <v>124.85</v>
      </c>
      <c r="W15" s="294">
        <v>0</v>
      </c>
      <c r="X15" s="297">
        <v>115.958</v>
      </c>
      <c r="Y15" s="298">
        <v>104.496</v>
      </c>
      <c r="Z15" s="297">
        <f>X15/Y15</f>
        <v>1.1096884091257082</v>
      </c>
      <c r="AA15" s="299">
        <v>0</v>
      </c>
      <c r="AB15" s="299">
        <f>AA15*Z15</f>
        <v>0</v>
      </c>
      <c r="AC15" s="299"/>
      <c r="AD15" s="299"/>
      <c r="AE15" s="299"/>
      <c r="AF15" s="299"/>
      <c r="AG15" s="299"/>
      <c r="AH15" s="299">
        <v>0</v>
      </c>
      <c r="AI15" s="299"/>
      <c r="AJ15" s="299"/>
      <c r="AK15" s="299"/>
      <c r="AL15" s="299"/>
      <c r="AM15" s="299"/>
      <c r="AN15" s="299"/>
      <c r="AO15" s="299">
        <f>SUM(AC15:AN15)</f>
        <v>0</v>
      </c>
      <c r="AP15" s="300">
        <v>0</v>
      </c>
      <c r="AQ15" s="168"/>
    </row>
    <row r="16" spans="1:43" x14ac:dyDescent="0.2">
      <c r="R16" s="243"/>
      <c r="AB16" s="263"/>
      <c r="AH16" s="263">
        <f>SUM(AH13:AH15)</f>
        <v>0</v>
      </c>
      <c r="AI16" s="263" t="e">
        <f>SUM(#REF!)</f>
        <v>#REF!</v>
      </c>
      <c r="AJ16" s="263" t="e">
        <f>SUM(#REF!)</f>
        <v>#REF!</v>
      </c>
      <c r="AK16" s="263" t="e">
        <f>SUM(#REF!)</f>
        <v>#REF!</v>
      </c>
      <c r="AL16" s="263" t="e">
        <f>SUM(#REF!)</f>
        <v>#REF!</v>
      </c>
      <c r="AM16" s="263" t="e">
        <f>SUM(#REF!)</f>
        <v>#REF!</v>
      </c>
      <c r="AN16" s="263" t="e">
        <f>SUM(#REF!)</f>
        <v>#REF!</v>
      </c>
      <c r="AO16" s="263"/>
    </row>
    <row r="17" spans="1:43" s="150" customFormat="1" x14ac:dyDescent="0.2">
      <c r="A17" s="156" t="s">
        <v>460</v>
      </c>
      <c r="B17" s="132"/>
      <c r="C17" s="132"/>
      <c r="D17" s="133"/>
      <c r="E17" s="133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4"/>
      <c r="S17" s="134"/>
      <c r="T17" s="135"/>
      <c r="U17" s="135"/>
      <c r="W17"/>
      <c r="X17"/>
      <c r="Y17" s="121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113"/>
    </row>
    <row r="18" spans="1:43" s="150" customFormat="1" x14ac:dyDescent="0.2">
      <c r="A18" s="14"/>
      <c r="B18"/>
      <c r="C18"/>
      <c r="D18" s="27"/>
      <c r="E18" s="27"/>
      <c r="F18"/>
      <c r="G18"/>
      <c r="H18"/>
      <c r="I18"/>
      <c r="J18"/>
      <c r="K18"/>
      <c r="L18"/>
      <c r="M18"/>
      <c r="N18"/>
      <c r="O18"/>
      <c r="P18"/>
      <c r="Q18"/>
      <c r="R18" s="28"/>
      <c r="S18" s="28"/>
      <c r="T18" s="16"/>
      <c r="U18" s="16"/>
      <c r="W18"/>
      <c r="X18"/>
      <c r="Y18" s="121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113"/>
    </row>
    <row r="19" spans="1:43" ht="30.75" hidden="1" customHeight="1" x14ac:dyDescent="0.2">
      <c r="A19" s="568" t="s">
        <v>613</v>
      </c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8"/>
      <c r="Y19" s="239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</row>
    <row r="20" spans="1:43" s="121" customFormat="1" hidden="1" x14ac:dyDescent="0.2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13"/>
      <c r="AQ20"/>
    </row>
    <row r="21" spans="1:43" x14ac:dyDescent="0.2">
      <c r="A21" s="284" t="s">
        <v>717</v>
      </c>
      <c r="B21" s="285"/>
    </row>
    <row r="23" spans="1:43" x14ac:dyDescent="0.2">
      <c r="H23" s="16" t="s">
        <v>504</v>
      </c>
      <c r="AH23" s="376"/>
    </row>
  </sheetData>
  <mergeCells count="25"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19:X20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ageMargins left="0.70866141732283472" right="3.937007874015748E-2" top="0.78740157480314965" bottom="0.39370078740157483" header="0" footer="0"/>
  <pageSetup paperSize="5" scale="52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35"/>
  <sheetViews>
    <sheetView topLeftCell="G1" zoomScale="110" zoomScaleNormal="110" workbookViewId="0">
      <selection activeCell="AN32" sqref="AN32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425781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  <col min="43" max="45" width="11.42578125" style="22"/>
  </cols>
  <sheetData>
    <row r="1" spans="1:42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/>
      <c r="AO1" s="137"/>
      <c r="AP1" s="141"/>
    </row>
    <row r="2" spans="1:42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2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2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2" x14ac:dyDescent="0.2">
      <c r="A5" s="137"/>
      <c r="B5" s="144" t="s">
        <v>473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2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2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2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2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2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ht="54" customHeight="1" x14ac:dyDescent="0.25">
      <c r="A11" s="552" t="s">
        <v>60</v>
      </c>
      <c r="B11" s="552" t="s">
        <v>0</v>
      </c>
      <c r="C11" s="269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0" t="s">
        <v>680</v>
      </c>
      <c r="O11" s="556" t="s">
        <v>643</v>
      </c>
      <c r="P11" s="271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2" ht="32.25" customHeight="1" x14ac:dyDescent="0.25">
      <c r="A12" s="553"/>
      <c r="B12" s="553"/>
      <c r="C12" s="229" t="s">
        <v>473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2" s="22" customFormat="1" x14ac:dyDescent="0.2">
      <c r="A13" s="41" t="s">
        <v>68</v>
      </c>
      <c r="B13" s="41" t="s">
        <v>94</v>
      </c>
      <c r="C13" s="87"/>
      <c r="D13" s="101"/>
      <c r="E13" s="48"/>
      <c r="F13" s="88"/>
      <c r="G13" s="101"/>
      <c r="H13" s="201"/>
      <c r="I13" s="233"/>
      <c r="J13" s="90"/>
      <c r="K13" s="233"/>
      <c r="L13" s="90"/>
      <c r="M13" s="233"/>
      <c r="N13" s="90"/>
      <c r="O13" s="233"/>
      <c r="P13" s="90"/>
      <c r="Q13" s="90"/>
      <c r="R13" s="171"/>
      <c r="S13" s="171"/>
      <c r="T13" s="188"/>
      <c r="U13" s="18"/>
      <c r="V13" s="152"/>
      <c r="W13" s="110"/>
      <c r="X13" s="100"/>
      <c r="Y13" s="125"/>
      <c r="Z13" s="10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</row>
    <row r="14" spans="1:42" s="22" customFormat="1" x14ac:dyDescent="0.2">
      <c r="A14" s="41" t="s">
        <v>86</v>
      </c>
      <c r="B14" s="13"/>
      <c r="C14" s="87"/>
      <c r="D14" s="101"/>
      <c r="E14" s="48"/>
      <c r="F14" s="88"/>
      <c r="G14" s="101"/>
      <c r="H14" s="201"/>
      <c r="I14" s="233"/>
      <c r="J14" s="90"/>
      <c r="K14" s="233"/>
      <c r="L14" s="90"/>
      <c r="M14" s="233"/>
      <c r="N14" s="90"/>
      <c r="O14" s="233"/>
      <c r="P14" s="90"/>
      <c r="Q14" s="90"/>
      <c r="R14" s="88"/>
      <c r="S14" s="171"/>
      <c r="T14" s="188"/>
      <c r="U14" s="18"/>
      <c r="V14" s="152"/>
      <c r="W14" s="233"/>
      <c r="X14" s="100"/>
      <c r="Y14" s="125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</row>
    <row r="15" spans="1:42" s="22" customFormat="1" x14ac:dyDescent="0.2">
      <c r="A15" s="49" t="s">
        <v>345</v>
      </c>
      <c r="B15" s="145" t="s">
        <v>697</v>
      </c>
      <c r="C15" s="87" t="s">
        <v>473</v>
      </c>
      <c r="D15" s="101">
        <v>10</v>
      </c>
      <c r="E15" s="48">
        <v>0.33329999999999999</v>
      </c>
      <c r="F15" s="88">
        <v>42185</v>
      </c>
      <c r="G15" s="101">
        <v>120</v>
      </c>
      <c r="H15" s="201">
        <f t="shared" ref="H15" si="0">100/G15</f>
        <v>0.83333333333333337</v>
      </c>
      <c r="I15" s="233">
        <f>H15*J15</f>
        <v>104.16666666666667</v>
      </c>
      <c r="J15" s="90">
        <f>(YEAR(F15)-YEAR(S15))*12+MONTH(F15)-MONTH(S15)</f>
        <v>125</v>
      </c>
      <c r="K15" s="233">
        <f t="shared" ref="K15" si="1">L15*H15</f>
        <v>0</v>
      </c>
      <c r="L15" s="90">
        <v>0</v>
      </c>
      <c r="M15" s="233">
        <f t="shared" ref="M15" si="2">N15*H15</f>
        <v>0</v>
      </c>
      <c r="N15" s="90">
        <v>0</v>
      </c>
      <c r="O15" s="233">
        <f t="shared" ref="O15" si="3">P15*H15</f>
        <v>0</v>
      </c>
      <c r="P15" s="90">
        <f t="shared" ref="P15" si="4">L15-N15</f>
        <v>0</v>
      </c>
      <c r="Q15" s="90"/>
      <c r="R15" s="88" t="s">
        <v>595</v>
      </c>
      <c r="S15" s="182">
        <v>38353</v>
      </c>
      <c r="T15" s="9">
        <v>1400</v>
      </c>
      <c r="U15" s="89">
        <v>81.63</v>
      </c>
      <c r="V15" s="152">
        <v>58.35</v>
      </c>
      <c r="W15" s="233"/>
      <c r="X15" s="100">
        <v>115.958</v>
      </c>
      <c r="Y15" s="125">
        <v>112.554</v>
      </c>
      <c r="Z15" s="100">
        <f t="shared" ref="Z15" si="5">X15/Y15</f>
        <v>1.0302432610124916</v>
      </c>
      <c r="AA15" s="98">
        <f>U15/7</f>
        <v>11.661428571428571</v>
      </c>
      <c r="AB15" s="98">
        <f>Z15*AA15</f>
        <v>12.014108199492814</v>
      </c>
      <c r="AC15" s="98"/>
      <c r="AD15" s="98"/>
      <c r="AE15" s="98"/>
      <c r="AF15" s="98"/>
      <c r="AG15" s="98"/>
      <c r="AH15" s="98">
        <v>12.01</v>
      </c>
      <c r="AI15" s="98">
        <v>12.01</v>
      </c>
      <c r="AJ15" s="98">
        <v>12.01</v>
      </c>
      <c r="AK15" s="98">
        <v>12.01</v>
      </c>
      <c r="AL15" s="98">
        <v>12.01</v>
      </c>
      <c r="AM15" s="98">
        <v>12.01</v>
      </c>
      <c r="AN15" s="98">
        <v>8.57</v>
      </c>
      <c r="AO15" s="98">
        <f>SUM(AH15:AN15)</f>
        <v>80.63</v>
      </c>
      <c r="AP15" s="116">
        <f>U15-AO15</f>
        <v>1</v>
      </c>
    </row>
    <row r="16" spans="1:42" s="22" customFormat="1" x14ac:dyDescent="0.2">
      <c r="A16" s="41" t="s">
        <v>74</v>
      </c>
      <c r="B16" s="41" t="s">
        <v>28</v>
      </c>
      <c r="C16" s="87"/>
      <c r="D16" s="101"/>
      <c r="E16" s="48"/>
      <c r="F16" s="88"/>
      <c r="G16" s="101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88"/>
      <c r="S16" s="30"/>
      <c r="T16" s="169"/>
      <c r="U16" s="89"/>
      <c r="V16" s="152"/>
      <c r="W16" s="233"/>
      <c r="X16" s="100"/>
      <c r="Y16" s="125"/>
      <c r="Z16" s="10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116"/>
    </row>
    <row r="17" spans="1:45" s="22" customFormat="1" x14ac:dyDescent="0.2">
      <c r="A17" s="41" t="s">
        <v>80</v>
      </c>
      <c r="B17" s="46"/>
      <c r="C17" s="47"/>
      <c r="D17" s="42"/>
      <c r="E17" s="42"/>
      <c r="F17" s="88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88"/>
      <c r="S17" s="30"/>
      <c r="T17" s="169"/>
      <c r="U17" s="89"/>
      <c r="V17" s="152"/>
      <c r="W17" s="233"/>
      <c r="X17" s="100"/>
      <c r="Y17" s="127"/>
      <c r="Z17" s="10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16"/>
    </row>
    <row r="18" spans="1:45" s="22" customFormat="1" x14ac:dyDescent="0.2">
      <c r="A18" s="49" t="s">
        <v>346</v>
      </c>
      <c r="B18" s="145" t="s">
        <v>583</v>
      </c>
      <c r="C18" s="87" t="s">
        <v>473</v>
      </c>
      <c r="D18" s="12">
        <v>10</v>
      </c>
      <c r="E18" s="38">
        <v>0.1</v>
      </c>
      <c r="F18" s="88">
        <v>42185</v>
      </c>
      <c r="G18" s="101">
        <v>120</v>
      </c>
      <c r="H18" s="201">
        <f t="shared" ref="H18" si="6">100/G18</f>
        <v>0.83333333333333337</v>
      </c>
      <c r="I18" s="233">
        <f>H18*J18</f>
        <v>4.166666666666667</v>
      </c>
      <c r="J18" s="90">
        <f>(YEAR(F18)-YEAR(S18))*12+MONTH(F18)-MONTH(S18)</f>
        <v>5</v>
      </c>
      <c r="K18" s="233">
        <f t="shared" ref="K18" si="7">L18*H18</f>
        <v>95.833333333333343</v>
      </c>
      <c r="L18" s="90">
        <f t="shared" ref="L18" si="8">G18-J18</f>
        <v>115</v>
      </c>
      <c r="M18" s="233">
        <f t="shared" ref="M18" si="9">N18*H18</f>
        <v>5.8333333333333339</v>
      </c>
      <c r="N18" s="90">
        <v>7</v>
      </c>
      <c r="O18" s="233">
        <f t="shared" ref="O18" si="10">P18*H18</f>
        <v>90</v>
      </c>
      <c r="P18" s="90">
        <f t="shared" ref="P18" si="11">L18-N18</f>
        <v>108</v>
      </c>
      <c r="Q18" s="90"/>
      <c r="R18" s="88" t="s">
        <v>604</v>
      </c>
      <c r="S18" s="29">
        <v>42016</v>
      </c>
      <c r="T18" s="9">
        <v>1276</v>
      </c>
      <c r="U18" s="89">
        <v>155</v>
      </c>
      <c r="V18" s="152">
        <v>25</v>
      </c>
      <c r="W18" s="233"/>
      <c r="X18" s="100">
        <v>115.958</v>
      </c>
      <c r="Y18" s="125">
        <v>126.146</v>
      </c>
      <c r="Z18" s="100">
        <f>X18/Y18</f>
        <v>0.91923644031519036</v>
      </c>
      <c r="AA18" s="98">
        <f>U18*M18/100/K18*100/7</f>
        <v>1.3478260869565217</v>
      </c>
      <c r="AB18" s="98">
        <f>Z18*AA18</f>
        <v>1.2389708543378652</v>
      </c>
      <c r="AC18" s="98"/>
      <c r="AD18" s="98"/>
      <c r="AE18" s="98"/>
      <c r="AF18" s="98"/>
      <c r="AG18" s="98"/>
      <c r="AH18" s="98">
        <v>1.24</v>
      </c>
      <c r="AI18" s="98">
        <v>1.24</v>
      </c>
      <c r="AJ18" s="98">
        <v>1.24</v>
      </c>
      <c r="AK18" s="98">
        <v>1.24</v>
      </c>
      <c r="AL18" s="98">
        <v>1.24</v>
      </c>
      <c r="AM18" s="98">
        <v>1.24</v>
      </c>
      <c r="AN18" s="98">
        <v>1.24</v>
      </c>
      <c r="AO18" s="98">
        <f>SUM(AH18:AN18)</f>
        <v>8.68</v>
      </c>
      <c r="AP18" s="116">
        <f>U18-AO18</f>
        <v>146.32</v>
      </c>
    </row>
    <row r="19" spans="1:45" s="22" customFormat="1" x14ac:dyDescent="0.2">
      <c r="A19" s="172" t="s">
        <v>690</v>
      </c>
      <c r="B19" s="172"/>
      <c r="C19" s="87"/>
      <c r="D19" s="42"/>
      <c r="E19" s="38"/>
      <c r="F19" s="88"/>
      <c r="G19" s="24"/>
      <c r="H19" s="201"/>
      <c r="I19" s="233"/>
      <c r="J19" s="90"/>
      <c r="K19" s="233"/>
      <c r="L19" s="90"/>
      <c r="M19" s="233"/>
      <c r="N19" s="90"/>
      <c r="O19" s="233"/>
      <c r="P19" s="90"/>
      <c r="Q19" s="24"/>
      <c r="R19" s="24"/>
      <c r="S19" s="29"/>
      <c r="T19" s="18"/>
      <c r="U19" s="18"/>
      <c r="V19" s="154"/>
      <c r="W19" s="110"/>
      <c r="X19" s="100"/>
      <c r="Y19" s="125"/>
      <c r="Z19" s="100"/>
      <c r="AA19" s="98"/>
      <c r="AB19" s="98"/>
      <c r="AC19" s="109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116"/>
    </row>
    <row r="20" spans="1:45" s="22" customFormat="1" x14ac:dyDescent="0.2">
      <c r="A20" s="172" t="s">
        <v>87</v>
      </c>
      <c r="B20" s="145"/>
      <c r="C20" s="87"/>
      <c r="D20" s="8"/>
      <c r="E20" s="38"/>
      <c r="F20" s="88"/>
      <c r="G20" s="24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24"/>
      <c r="S20" s="29"/>
      <c r="T20" s="18"/>
      <c r="U20" s="18"/>
      <c r="V20" s="154"/>
      <c r="W20" s="110"/>
      <c r="X20" s="110"/>
      <c r="Y20" s="125"/>
      <c r="Z20" s="110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116"/>
    </row>
    <row r="21" spans="1:45" s="449" customFormat="1" x14ac:dyDescent="0.2">
      <c r="A21" s="434" t="s">
        <v>864</v>
      </c>
      <c r="B21" s="434" t="s">
        <v>865</v>
      </c>
      <c r="C21" s="450" t="s">
        <v>473</v>
      </c>
      <c r="D21" s="435">
        <v>10</v>
      </c>
      <c r="E21" s="451">
        <v>0.1</v>
      </c>
      <c r="F21" s="437">
        <v>42335</v>
      </c>
      <c r="G21" s="438">
        <v>120</v>
      </c>
      <c r="H21" s="439">
        <f>100/G21</f>
        <v>0.83333333333333337</v>
      </c>
      <c r="I21" s="440">
        <f>H21*J21</f>
        <v>0</v>
      </c>
      <c r="J21" s="438">
        <f>(YEAR(F21)-YEAR(S21))*12+MONTH(F21)-MONTH(S21)</f>
        <v>0</v>
      </c>
      <c r="K21" s="440">
        <f>L21*H21</f>
        <v>100</v>
      </c>
      <c r="L21" s="438">
        <f>G21-J21</f>
        <v>120</v>
      </c>
      <c r="M21" s="440">
        <f>N21*H21</f>
        <v>0.83333333333333337</v>
      </c>
      <c r="N21" s="438">
        <v>1</v>
      </c>
      <c r="O21" s="440">
        <f>P21*H21</f>
        <v>99.166666666666671</v>
      </c>
      <c r="P21" s="438">
        <f t="shared" ref="P21" si="12">L21-N21</f>
        <v>119</v>
      </c>
      <c r="Q21" s="438">
        <f>M21-O21</f>
        <v>-98.333333333333343</v>
      </c>
      <c r="R21" s="438">
        <v>4658</v>
      </c>
      <c r="S21" s="437">
        <v>42335</v>
      </c>
      <c r="T21" s="443">
        <v>734</v>
      </c>
      <c r="U21" s="445">
        <v>0</v>
      </c>
      <c r="V21" s="447">
        <v>0</v>
      </c>
      <c r="W21" s="447">
        <v>118.051</v>
      </c>
      <c r="X21" s="445">
        <v>115.958</v>
      </c>
      <c r="Y21" s="447">
        <v>118.051</v>
      </c>
      <c r="Z21" s="445">
        <f>X21/Y21</f>
        <v>0.98227037466857536</v>
      </c>
      <c r="AA21" s="447">
        <f>H21*T21/100</f>
        <v>6.1166666666666671</v>
      </c>
      <c r="AB21" s="447">
        <f>AA21*Z21</f>
        <v>6.0082204583894532</v>
      </c>
      <c r="AC21" s="447"/>
      <c r="AD21" s="447"/>
      <c r="AE21" s="447"/>
      <c r="AF21" s="447"/>
      <c r="AG21" s="447"/>
      <c r="AH21" s="447"/>
      <c r="AI21" s="447"/>
      <c r="AJ21" s="447"/>
      <c r="AK21" s="448"/>
      <c r="AL21" s="448"/>
      <c r="AM21" s="448"/>
      <c r="AN21" s="448">
        <f>AB21</f>
        <v>6.0082204583894532</v>
      </c>
      <c r="AO21" s="448">
        <f>AN21</f>
        <v>6.0082204583894532</v>
      </c>
      <c r="AP21" s="448">
        <f>T21-AO21</f>
        <v>727.99177954161053</v>
      </c>
      <c r="AQ21" s="22"/>
      <c r="AR21" s="22"/>
      <c r="AS21" s="22"/>
    </row>
    <row r="22" spans="1:45" s="22" customFormat="1" ht="13.5" x14ac:dyDescent="0.25">
      <c r="A22" s="41" t="s">
        <v>347</v>
      </c>
      <c r="B22" s="41" t="s">
        <v>349</v>
      </c>
      <c r="C22" s="87"/>
      <c r="D22" s="101"/>
      <c r="E22" s="38"/>
      <c r="F22" s="88"/>
      <c r="G22" s="101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171"/>
      <c r="S22" s="15"/>
      <c r="T22" s="176"/>
      <c r="U22" s="18"/>
      <c r="V22" s="152"/>
      <c r="W22" s="233"/>
      <c r="X22" s="100"/>
      <c r="Y22" s="125"/>
      <c r="Z22" s="10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</row>
    <row r="23" spans="1:45" s="22" customFormat="1" ht="13.5" x14ac:dyDescent="0.25">
      <c r="A23" s="41" t="s">
        <v>348</v>
      </c>
      <c r="B23" s="54"/>
      <c r="C23" s="87"/>
      <c r="D23" s="12"/>
      <c r="E23" s="38"/>
      <c r="F23" s="88"/>
      <c r="G23" s="101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29"/>
      <c r="S23" s="15"/>
      <c r="T23" s="176"/>
      <c r="U23" s="18"/>
      <c r="V23" s="152"/>
      <c r="W23" s="233"/>
      <c r="X23" s="100"/>
      <c r="Y23" s="125"/>
      <c r="Z23" s="100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116"/>
    </row>
    <row r="24" spans="1:45" s="22" customFormat="1" x14ac:dyDescent="0.2">
      <c r="A24" s="49" t="s">
        <v>350</v>
      </c>
      <c r="B24" s="145" t="s">
        <v>582</v>
      </c>
      <c r="C24" s="87" t="s">
        <v>473</v>
      </c>
      <c r="D24" s="8">
        <v>10</v>
      </c>
      <c r="E24" s="38">
        <v>0.1</v>
      </c>
      <c r="F24" s="88">
        <v>42185</v>
      </c>
      <c r="G24" s="101">
        <v>120</v>
      </c>
      <c r="H24" s="201">
        <f t="shared" ref="H24" si="13">100/G24</f>
        <v>0.83333333333333337</v>
      </c>
      <c r="I24" s="233">
        <f>H24*J24</f>
        <v>1.6666666666666667</v>
      </c>
      <c r="J24" s="90">
        <f>(YEAR(F24)-YEAR(S24))*12+MONTH(F24)-MONTH(S24)</f>
        <v>2</v>
      </c>
      <c r="K24" s="233">
        <f t="shared" ref="K24" si="14">L24*H24</f>
        <v>98.333333333333343</v>
      </c>
      <c r="L24" s="90">
        <f t="shared" ref="L24" si="15">G24-J24</f>
        <v>118</v>
      </c>
      <c r="M24" s="233">
        <f t="shared" ref="M24" si="16">N24*H24</f>
        <v>5.8333333333333339</v>
      </c>
      <c r="N24" s="90">
        <v>7</v>
      </c>
      <c r="O24" s="233">
        <f t="shared" ref="O24" si="17">P24*H24</f>
        <v>92.5</v>
      </c>
      <c r="P24" s="90">
        <f t="shared" ref="P24" si="18">L24-N24</f>
        <v>111</v>
      </c>
      <c r="Q24" s="90"/>
      <c r="R24" s="88" t="s">
        <v>698</v>
      </c>
      <c r="S24" s="52">
        <v>42121</v>
      </c>
      <c r="T24" s="9">
        <v>338</v>
      </c>
      <c r="U24" s="89">
        <v>338</v>
      </c>
      <c r="V24" s="152">
        <v>0</v>
      </c>
      <c r="W24" s="233"/>
      <c r="X24" s="100">
        <v>115.958</v>
      </c>
      <c r="Y24" s="125">
        <v>112.527</v>
      </c>
      <c r="Z24" s="100">
        <f>X24/Y24</f>
        <v>1.0304904600673617</v>
      </c>
      <c r="AA24" s="98">
        <f>U24*M24/100/K24*100/7</f>
        <v>2.8644067796610169</v>
      </c>
      <c r="AB24" s="98">
        <f>Z24*AA24</f>
        <v>2.9517438601929511</v>
      </c>
      <c r="AC24" s="98"/>
      <c r="AD24" s="98"/>
      <c r="AE24" s="98"/>
      <c r="AF24" s="98"/>
      <c r="AG24" s="98"/>
      <c r="AH24" s="98">
        <v>2.95</v>
      </c>
      <c r="AI24" s="98">
        <v>2.95</v>
      </c>
      <c r="AJ24" s="98">
        <v>2.95</v>
      </c>
      <c r="AK24" s="98">
        <v>2.95</v>
      </c>
      <c r="AL24" s="98">
        <v>2.95</v>
      </c>
      <c r="AM24" s="98">
        <v>2.95</v>
      </c>
      <c r="AN24" s="98">
        <v>2.95</v>
      </c>
      <c r="AO24" s="98">
        <f>SUM(AH24:AN24)</f>
        <v>20.65</v>
      </c>
      <c r="AP24" s="116">
        <f>U24-AO24</f>
        <v>317.35000000000002</v>
      </c>
    </row>
    <row r="25" spans="1:45" s="22" customFormat="1" x14ac:dyDescent="0.2">
      <c r="A25" s="323" t="s">
        <v>350</v>
      </c>
      <c r="B25" s="145" t="s">
        <v>752</v>
      </c>
      <c r="C25" s="87" t="s">
        <v>473</v>
      </c>
      <c r="D25" s="8">
        <v>10</v>
      </c>
      <c r="E25" s="38">
        <v>0.1</v>
      </c>
      <c r="F25" s="88">
        <v>42185</v>
      </c>
      <c r="G25" s="101">
        <v>120</v>
      </c>
      <c r="H25" s="201">
        <f t="shared" ref="H25" si="19">100/G25</f>
        <v>0.83333333333333337</v>
      </c>
      <c r="I25" s="233">
        <f>H25*J25</f>
        <v>10.833333333333334</v>
      </c>
      <c r="J25" s="90">
        <f>(YEAR(F25)-YEAR(S25))*12+MONTH(F25)-MONTH(S25)</f>
        <v>13</v>
      </c>
      <c r="K25" s="233">
        <f t="shared" ref="K25" si="20">L25*H25</f>
        <v>89.166666666666671</v>
      </c>
      <c r="L25" s="90">
        <f t="shared" ref="L25" si="21">G25-J25</f>
        <v>107</v>
      </c>
      <c r="M25" s="233">
        <f t="shared" ref="M25" si="22">N25*H25</f>
        <v>5.8333333333333339</v>
      </c>
      <c r="N25" s="90">
        <v>7</v>
      </c>
      <c r="O25" s="233">
        <f t="shared" ref="O25" si="23">P25*H25</f>
        <v>83.333333333333343</v>
      </c>
      <c r="P25" s="90">
        <f t="shared" ref="P25" si="24">L25-N25</f>
        <v>100</v>
      </c>
      <c r="Q25" s="90"/>
      <c r="R25" s="88" t="s">
        <v>753</v>
      </c>
      <c r="S25" s="182">
        <v>41775</v>
      </c>
      <c r="T25" s="11">
        <v>753</v>
      </c>
      <c r="U25" s="89">
        <v>671.39</v>
      </c>
      <c r="V25" s="152">
        <v>31.4</v>
      </c>
      <c r="W25" s="233"/>
      <c r="X25" s="100">
        <v>115.958</v>
      </c>
      <c r="Y25" s="125">
        <v>112.527</v>
      </c>
      <c r="Z25" s="100">
        <f>X25/Y25</f>
        <v>1.0304904600673617</v>
      </c>
      <c r="AA25" s="98">
        <f>U25*M25/100/K25*100/7</f>
        <v>6.274672897196262</v>
      </c>
      <c r="AB25" s="98">
        <f>Z25*AA25</f>
        <v>6.4659905606039816</v>
      </c>
      <c r="AC25" s="98"/>
      <c r="AD25" s="98"/>
      <c r="AE25" s="98"/>
      <c r="AF25" s="98"/>
      <c r="AG25" s="98"/>
      <c r="AH25" s="98">
        <v>6.47</v>
      </c>
      <c r="AI25" s="98">
        <v>6.47</v>
      </c>
      <c r="AJ25" s="98">
        <v>6.47</v>
      </c>
      <c r="AK25" s="98">
        <v>6.47</v>
      </c>
      <c r="AL25" s="98">
        <v>6.47</v>
      </c>
      <c r="AM25" s="98">
        <v>6.47</v>
      </c>
      <c r="AN25" s="98">
        <v>6.47</v>
      </c>
      <c r="AO25" s="98">
        <f>SUM(AH25:AN25)</f>
        <v>45.29</v>
      </c>
      <c r="AP25" s="116">
        <f>U25-AO25</f>
        <v>626.1</v>
      </c>
    </row>
    <row r="26" spans="1:45" x14ac:dyDescent="0.2">
      <c r="R26" s="243"/>
      <c r="AB26" s="263"/>
      <c r="AH26" s="263">
        <f>SUM(AH13:AH25)</f>
        <v>22.669999999999998</v>
      </c>
      <c r="AI26" s="263"/>
      <c r="AJ26" s="263"/>
      <c r="AK26" s="263"/>
      <c r="AL26" s="263"/>
      <c r="AM26" s="263">
        <f>SUM(AM13:AM25)</f>
        <v>22.669999999999998</v>
      </c>
      <c r="AN26" s="263">
        <f t="shared" ref="AN26:AO26" si="25">SUM(AN13:AN25)</f>
        <v>25.238220458389453</v>
      </c>
      <c r="AO26" s="263">
        <f t="shared" si="25"/>
        <v>161.25822045838945</v>
      </c>
      <c r="AP26" s="263">
        <f>SUM(AP13:AP25)</f>
        <v>1818.7617795416104</v>
      </c>
    </row>
    <row r="27" spans="1:45" s="150" customFormat="1" x14ac:dyDescent="0.2">
      <c r="A27" s="156" t="s">
        <v>460</v>
      </c>
      <c r="B27" s="132"/>
      <c r="C27" s="132"/>
      <c r="D27" s="133"/>
      <c r="E27" s="133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4"/>
      <c r="S27" s="134"/>
      <c r="T27" s="135"/>
      <c r="U27" s="135"/>
      <c r="W27"/>
      <c r="X27"/>
      <c r="Y27" s="121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113"/>
      <c r="AQ27" s="149"/>
      <c r="AR27" s="149"/>
      <c r="AS27" s="149"/>
    </row>
    <row r="28" spans="1:45" s="150" customFormat="1" x14ac:dyDescent="0.2">
      <c r="A28" s="14"/>
      <c r="B28"/>
      <c r="C28"/>
      <c r="D28" s="27"/>
      <c r="E28" s="27"/>
      <c r="F28"/>
      <c r="G28"/>
      <c r="H28"/>
      <c r="I28"/>
      <c r="J28"/>
      <c r="K28"/>
      <c r="L28"/>
      <c r="M28"/>
      <c r="N28"/>
      <c r="O28"/>
      <c r="P28"/>
      <c r="Q28"/>
      <c r="R28" s="28"/>
      <c r="S28" s="28"/>
      <c r="T28" s="16"/>
      <c r="U28" s="16"/>
      <c r="W28"/>
      <c r="X28"/>
      <c r="Y28" s="121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 s="113"/>
      <c r="AQ28" s="149"/>
      <c r="AR28" s="149"/>
      <c r="AS28" s="149"/>
    </row>
    <row r="29" spans="1:45" ht="30.75" hidden="1" customHeight="1" x14ac:dyDescent="0.2">
      <c r="A29" s="568" t="s">
        <v>613</v>
      </c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239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</row>
    <row r="30" spans="1:45" hidden="1" x14ac:dyDescent="0.2">
      <c r="A30" s="568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</row>
    <row r="31" spans="1:45" x14ac:dyDescent="0.2">
      <c r="AN31" s="525">
        <f>SUM(AN26-AN21)</f>
        <v>19.23</v>
      </c>
    </row>
    <row r="32" spans="1:45" x14ac:dyDescent="0.2">
      <c r="V32" s="567" t="s">
        <v>1062</v>
      </c>
      <c r="W32" s="572"/>
      <c r="X32" s="572"/>
      <c r="Y32" s="572"/>
      <c r="Z32" s="572"/>
      <c r="AN32" s="17">
        <f>SUM(AO21)+AN31</f>
        <v>25.238220458389453</v>
      </c>
    </row>
    <row r="33" spans="22:26" x14ac:dyDescent="0.2">
      <c r="V33" s="572"/>
      <c r="W33" s="572"/>
      <c r="X33" s="572"/>
      <c r="Y33" s="572"/>
      <c r="Z33" s="572"/>
    </row>
    <row r="34" spans="22:26" x14ac:dyDescent="0.2">
      <c r="V34" s="572"/>
      <c r="W34" s="572"/>
      <c r="X34" s="572"/>
      <c r="Y34" s="572"/>
      <c r="Z34" s="572"/>
    </row>
    <row r="35" spans="22:26" x14ac:dyDescent="0.2">
      <c r="V35" s="572"/>
      <c r="W35" s="572"/>
      <c r="X35" s="572"/>
      <c r="Y35" s="572"/>
      <c r="Z35" s="572"/>
    </row>
  </sheetData>
  <mergeCells count="26">
    <mergeCell ref="V32:Z35"/>
    <mergeCell ref="A29:X30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50"/>
  <sheetViews>
    <sheetView topLeftCell="J16" zoomScale="110" zoomScaleNormal="110" workbookViewId="0">
      <selection activeCell="AD48" sqref="AD48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2" width="8.42578125" style="16" customWidth="1"/>
    <col min="23" max="23" width="8.42578125" style="16" hidden="1" customWidth="1"/>
    <col min="24" max="24" width="10.140625" style="150" customWidth="1"/>
    <col min="25" max="25" width="8.7109375" hidden="1" customWidth="1"/>
    <col min="26" max="26" width="8.7109375" customWidth="1"/>
    <col min="27" max="27" width="8.7109375" style="121" customWidth="1"/>
    <col min="28" max="28" width="7.42578125" customWidth="1"/>
    <col min="29" max="30" width="10.42578125" customWidth="1"/>
    <col min="31" max="35" width="7.7109375" hidden="1" customWidth="1"/>
    <col min="36" max="36" width="11.28515625" hidden="1" customWidth="1"/>
    <col min="37" max="38" width="7.7109375" hidden="1" customWidth="1"/>
    <col min="39" max="39" width="8.85546875" hidden="1" customWidth="1"/>
    <col min="40" max="41" width="7.7109375" hidden="1" customWidth="1"/>
    <col min="42" max="42" width="7.7109375" customWidth="1"/>
    <col min="43" max="43" width="9.28515625" customWidth="1"/>
    <col min="44" max="44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47"/>
      <c r="Y1" s="139"/>
      <c r="Z1" s="139"/>
      <c r="AA1" s="140"/>
      <c r="AB1" s="139"/>
      <c r="AC1" s="139"/>
      <c r="AD1" s="139"/>
      <c r="AE1" s="139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9"/>
      <c r="AQ1" s="137"/>
      <c r="AR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47"/>
      <c r="Y2" s="139"/>
      <c r="Z2" s="139"/>
      <c r="AA2" s="140"/>
      <c r="AB2" s="139"/>
      <c r="AC2" s="139"/>
      <c r="AD2" s="139"/>
      <c r="AE2" s="139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8"/>
      <c r="Y3" s="139"/>
      <c r="Z3" s="139"/>
      <c r="AA3" s="140"/>
      <c r="AB3" s="139"/>
      <c r="AC3" s="139"/>
      <c r="AD3" s="139"/>
      <c r="AE3" s="139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8"/>
      <c r="Y4" s="139"/>
      <c r="Z4" s="139"/>
      <c r="AA4" s="140"/>
      <c r="AB4" s="139"/>
      <c r="AC4" s="139"/>
      <c r="AD4" s="139"/>
      <c r="AE4" s="139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41"/>
    </row>
    <row r="5" spans="1:45" x14ac:dyDescent="0.2">
      <c r="A5" s="137"/>
      <c r="B5" s="144" t="s">
        <v>533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47"/>
      <c r="Y5" s="139"/>
      <c r="Z5" s="139"/>
      <c r="AA5" s="140"/>
      <c r="AB5" s="139"/>
      <c r="AC5" s="139"/>
      <c r="AD5" s="139"/>
      <c r="AE5" s="139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47"/>
      <c r="Y6" s="139"/>
      <c r="Z6" s="139"/>
      <c r="AA6" s="140"/>
      <c r="AB6" s="139"/>
      <c r="AC6" s="139"/>
      <c r="AD6" s="139"/>
      <c r="AE6" s="139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47"/>
      <c r="Y7" s="139"/>
      <c r="Z7" s="139"/>
      <c r="AA7" s="140"/>
      <c r="AB7" s="139"/>
      <c r="AC7" s="139"/>
      <c r="AD7" s="139"/>
      <c r="AE7" s="139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149"/>
      <c r="Y8" s="81"/>
      <c r="Z8" s="81"/>
      <c r="AA8" s="120"/>
      <c r="AB8" s="81"/>
      <c r="AC8" s="81"/>
      <c r="AD8" s="81"/>
      <c r="AE8" s="81"/>
      <c r="AR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149"/>
      <c r="Y9" s="81"/>
      <c r="Z9" s="81"/>
      <c r="AA9" s="120"/>
      <c r="AB9" s="81"/>
      <c r="AC9" s="81"/>
      <c r="AD9" s="81"/>
      <c r="AE9" s="81"/>
      <c r="AR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281"/>
      <c r="V10" s="551" t="s">
        <v>600</v>
      </c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</row>
    <row r="11" spans="1:45" ht="54" customHeight="1" x14ac:dyDescent="0.25">
      <c r="A11" s="552" t="s">
        <v>60</v>
      </c>
      <c r="B11" s="552" t="s">
        <v>0</v>
      </c>
      <c r="C11" s="282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9" t="s">
        <v>680</v>
      </c>
      <c r="O11" s="556" t="s">
        <v>643</v>
      </c>
      <c r="P11" s="28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275"/>
      <c r="V11" s="558" t="s">
        <v>597</v>
      </c>
      <c r="W11" s="277"/>
      <c r="X11" s="570" t="s">
        <v>720</v>
      </c>
      <c r="Y11" s="558" t="s">
        <v>589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5" ht="32.25" customHeight="1" x14ac:dyDescent="0.25">
      <c r="A12" s="553"/>
      <c r="B12" s="553"/>
      <c r="C12" s="229" t="s">
        <v>718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276"/>
      <c r="V12" s="569"/>
      <c r="W12" s="278" t="s">
        <v>721</v>
      </c>
      <c r="X12" s="571">
        <v>41639</v>
      </c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5" s="22" customFormat="1" x14ac:dyDescent="0.2">
      <c r="A13" s="41" t="s">
        <v>68</v>
      </c>
      <c r="B13" s="41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54"/>
      <c r="Y13" s="110"/>
      <c r="Z13" s="110"/>
      <c r="AA13" s="126"/>
      <c r="AB13" s="110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17"/>
    </row>
    <row r="14" spans="1:45" s="22" customFormat="1" x14ac:dyDescent="0.2">
      <c r="A14" s="41" t="s">
        <v>69</v>
      </c>
      <c r="B14" s="54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54"/>
      <c r="Y14" s="110"/>
      <c r="Z14" s="110"/>
      <c r="AA14" s="158"/>
      <c r="AB14" s="110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17"/>
    </row>
    <row r="15" spans="1:45" s="22" customFormat="1" x14ac:dyDescent="0.2">
      <c r="A15" s="29" t="s">
        <v>212</v>
      </c>
      <c r="B15" s="145" t="s">
        <v>542</v>
      </c>
      <c r="C15" s="87" t="s">
        <v>534</v>
      </c>
      <c r="D15" s="101">
        <v>3</v>
      </c>
      <c r="E15" s="48">
        <v>0.33329999999999999</v>
      </c>
      <c r="F15" s="88">
        <v>42185</v>
      </c>
      <c r="G15" s="90">
        <v>36</v>
      </c>
      <c r="H15" s="201">
        <f>100/G15</f>
        <v>2.7777777777777777</v>
      </c>
      <c r="I15" s="233">
        <f>H15*J15</f>
        <v>80.555555555555557</v>
      </c>
      <c r="J15" s="90">
        <f>(YEAR(F15)-YEAR(S15))*12+MONTH(F15)-MONTH(S15)</f>
        <v>29</v>
      </c>
      <c r="K15" s="233">
        <f>L15*H15</f>
        <v>19.444444444444443</v>
      </c>
      <c r="L15" s="90">
        <f>G15-J15</f>
        <v>7</v>
      </c>
      <c r="M15" s="233">
        <f>N15*H15</f>
        <v>19.444444444444443</v>
      </c>
      <c r="N15" s="90">
        <v>7</v>
      </c>
      <c r="O15" s="233">
        <f>P15*H15</f>
        <v>0</v>
      </c>
      <c r="P15" s="90">
        <f t="shared" ref="O15:P19" si="0">L15-N15</f>
        <v>0</v>
      </c>
      <c r="Q15" s="88">
        <v>42428</v>
      </c>
      <c r="R15" s="88" t="s">
        <v>595</v>
      </c>
      <c r="S15" s="29">
        <v>41275</v>
      </c>
      <c r="T15" s="222">
        <v>899</v>
      </c>
      <c r="U15" s="209">
        <v>324.69</v>
      </c>
      <c r="V15" s="89">
        <f>U15-X15</f>
        <v>199.84</v>
      </c>
      <c r="W15" s="89">
        <v>24.97</v>
      </c>
      <c r="X15" s="152">
        <f>W15*5</f>
        <v>124.85</v>
      </c>
      <c r="Y15" s="233">
        <v>0</v>
      </c>
      <c r="Z15" s="100">
        <v>115.958</v>
      </c>
      <c r="AA15" s="125">
        <v>109.002</v>
      </c>
      <c r="AB15" s="100">
        <f>Z15/AA15</f>
        <v>1.0638153428377461</v>
      </c>
      <c r="AC15" s="98">
        <f>V15*M15/100/K15*100/7</f>
        <v>28.548571428571432</v>
      </c>
      <c r="AD15" s="98">
        <f>AC15*AB15</f>
        <v>30.370408301813601</v>
      </c>
      <c r="AE15" s="98"/>
      <c r="AF15" s="98"/>
      <c r="AG15" s="98"/>
      <c r="AH15" s="98"/>
      <c r="AI15" s="98"/>
      <c r="AJ15" s="98">
        <f>AD15</f>
        <v>30.370408301813601</v>
      </c>
      <c r="AK15" s="98">
        <v>30.370408301813601</v>
      </c>
      <c r="AL15" s="98">
        <v>30.370408301813601</v>
      </c>
      <c r="AM15" s="98">
        <v>30.370408301813601</v>
      </c>
      <c r="AN15" s="98">
        <v>30.370408301813601</v>
      </c>
      <c r="AO15" s="98">
        <v>30.370408301813601</v>
      </c>
      <c r="AP15" s="98">
        <v>16.62</v>
      </c>
      <c r="AQ15" s="98">
        <f>SUM(AE15:AP15)</f>
        <v>198.84244981088162</v>
      </c>
      <c r="AR15" s="116">
        <f>V15-AQ15</f>
        <v>0.99755018911838533</v>
      </c>
      <c r="AS15" s="168"/>
    </row>
    <row r="16" spans="1:45" s="22" customFormat="1" x14ac:dyDescent="0.2">
      <c r="A16" s="29" t="s">
        <v>212</v>
      </c>
      <c r="B16" s="13" t="s">
        <v>213</v>
      </c>
      <c r="C16" s="87" t="s">
        <v>534</v>
      </c>
      <c r="D16" s="101">
        <v>3</v>
      </c>
      <c r="E16" s="48">
        <v>0.33329999999999999</v>
      </c>
      <c r="F16" s="88">
        <v>42185</v>
      </c>
      <c r="G16" s="90">
        <v>36</v>
      </c>
      <c r="H16" s="201">
        <f>100/G16</f>
        <v>2.7777777777777777</v>
      </c>
      <c r="I16" s="233">
        <f t="shared" ref="I16:I19" si="1">H16*J16</f>
        <v>80.555555555555557</v>
      </c>
      <c r="J16" s="90">
        <f>(YEAR(F16)-YEAR(S16))*12+MONTH(F16)-MONTH(S16)</f>
        <v>29</v>
      </c>
      <c r="K16" s="233">
        <f>L16*H16</f>
        <v>19.444444444444443</v>
      </c>
      <c r="L16" s="90">
        <f>G16-J16</f>
        <v>7</v>
      </c>
      <c r="M16" s="233">
        <f>N16*H16</f>
        <v>19.444444444444443</v>
      </c>
      <c r="N16" s="90">
        <v>7</v>
      </c>
      <c r="O16" s="233">
        <f t="shared" si="0"/>
        <v>0</v>
      </c>
      <c r="P16" s="90">
        <f t="shared" si="0"/>
        <v>0</v>
      </c>
      <c r="Q16" s="90"/>
      <c r="R16" s="171" t="s">
        <v>595</v>
      </c>
      <c r="S16" s="29">
        <v>41275</v>
      </c>
      <c r="T16" s="222">
        <v>1890</v>
      </c>
      <c r="U16" s="209">
        <v>682.66</v>
      </c>
      <c r="V16" s="89">
        <f>U16-X16</f>
        <v>420.21</v>
      </c>
      <c r="W16" s="89">
        <v>52.49</v>
      </c>
      <c r="X16" s="152">
        <f>W16*5</f>
        <v>262.45</v>
      </c>
      <c r="Y16" s="110"/>
      <c r="Z16" s="100">
        <v>115.958</v>
      </c>
      <c r="AA16" s="125">
        <v>103.551</v>
      </c>
      <c r="AB16" s="100">
        <f>Z16/AA16</f>
        <v>1.119815356684146</v>
      </c>
      <c r="AC16" s="98">
        <f>V16*M16/100/K16*100/7</f>
        <v>60.029999999999994</v>
      </c>
      <c r="AD16" s="98">
        <f>AC16*AB16</f>
        <v>67.222515861749272</v>
      </c>
      <c r="AE16" s="98"/>
      <c r="AF16" s="98"/>
      <c r="AG16" s="98"/>
      <c r="AH16" s="98"/>
      <c r="AI16" s="98"/>
      <c r="AJ16" s="98">
        <f>AD16</f>
        <v>67.222515861749272</v>
      </c>
      <c r="AK16" s="98">
        <v>67.222515861749272</v>
      </c>
      <c r="AL16" s="98">
        <v>67.222515861749272</v>
      </c>
      <c r="AM16" s="98">
        <v>67.222515861749272</v>
      </c>
      <c r="AN16" s="98">
        <v>67.222515861749272</v>
      </c>
      <c r="AO16" s="98">
        <v>67.222515861749272</v>
      </c>
      <c r="AP16" s="98">
        <v>15.87</v>
      </c>
      <c r="AQ16" s="98">
        <f t="shared" ref="AQ16:AQ19" si="2">SUM(AE16:AP16)</f>
        <v>419.20509517049567</v>
      </c>
      <c r="AR16" s="116">
        <f>V16-AQ16</f>
        <v>1.0049048295043121</v>
      </c>
    </row>
    <row r="17" spans="1:44" s="22" customFormat="1" x14ac:dyDescent="0.2">
      <c r="A17" s="29" t="s">
        <v>212</v>
      </c>
      <c r="B17" s="13" t="s">
        <v>214</v>
      </c>
      <c r="C17" s="87" t="s">
        <v>534</v>
      </c>
      <c r="D17" s="101">
        <v>3</v>
      </c>
      <c r="E17" s="48">
        <v>0.33329999999999999</v>
      </c>
      <c r="F17" s="88">
        <v>42185</v>
      </c>
      <c r="G17" s="90">
        <v>36</v>
      </c>
      <c r="H17" s="201">
        <f>100/G17</f>
        <v>2.7777777777777777</v>
      </c>
      <c r="I17" s="233">
        <f t="shared" si="1"/>
        <v>80.555555555555557</v>
      </c>
      <c r="J17" s="90">
        <f>(YEAR(F17)-YEAR(S17))*12+MONTH(F17)-MONTH(S17)</f>
        <v>29</v>
      </c>
      <c r="K17" s="233">
        <f>L17*H17</f>
        <v>19.444444444444443</v>
      </c>
      <c r="L17" s="90">
        <f>G17-J17</f>
        <v>7</v>
      </c>
      <c r="M17" s="233">
        <f>N17*H17</f>
        <v>19.444444444444443</v>
      </c>
      <c r="N17" s="90">
        <v>7</v>
      </c>
      <c r="O17" s="233">
        <f>K17-M17</f>
        <v>0</v>
      </c>
      <c r="P17" s="90">
        <f t="shared" si="0"/>
        <v>0</v>
      </c>
      <c r="Q17" s="90"/>
      <c r="R17" s="171" t="s">
        <v>595</v>
      </c>
      <c r="S17" s="29">
        <v>41275</v>
      </c>
      <c r="T17" s="222">
        <v>98</v>
      </c>
      <c r="U17" s="209">
        <v>35.409999999999997</v>
      </c>
      <c r="V17" s="89">
        <f>U17-X17</f>
        <v>21.809999999999995</v>
      </c>
      <c r="W17" s="89">
        <v>2.72</v>
      </c>
      <c r="X17" s="152">
        <f>W17*5</f>
        <v>13.600000000000001</v>
      </c>
      <c r="Y17" s="110"/>
      <c r="Z17" s="100">
        <v>115.958</v>
      </c>
      <c r="AA17" s="125">
        <v>104.556</v>
      </c>
      <c r="AB17" s="100">
        <f>Z17/AA17</f>
        <v>1.1090516087072957</v>
      </c>
      <c r="AC17" s="98">
        <f>V17*M17/100/K17*100/7</f>
        <v>3.1157142857142843</v>
      </c>
      <c r="AD17" s="98">
        <f>AC17*AB17</f>
        <v>3.4554879408437298</v>
      </c>
      <c r="AE17" s="98"/>
      <c r="AF17" s="98"/>
      <c r="AG17" s="98"/>
      <c r="AH17" s="98"/>
      <c r="AI17" s="98"/>
      <c r="AJ17" s="98">
        <f>AD17</f>
        <v>3.4554879408437298</v>
      </c>
      <c r="AK17" s="98">
        <v>3.4554879408437298</v>
      </c>
      <c r="AL17" s="98">
        <v>3.4554879408437298</v>
      </c>
      <c r="AM17" s="98">
        <v>3.4554879408437298</v>
      </c>
      <c r="AN17" s="98">
        <v>3.4554879408437298</v>
      </c>
      <c r="AO17" s="98">
        <v>3.4554879408437298</v>
      </c>
      <c r="AP17" s="98">
        <v>0.08</v>
      </c>
      <c r="AQ17" s="98">
        <f t="shared" si="2"/>
        <v>20.812927645062381</v>
      </c>
      <c r="AR17" s="116">
        <f>V17-AQ17</f>
        <v>0.99707235493761459</v>
      </c>
    </row>
    <row r="18" spans="1:44" s="22" customFormat="1" x14ac:dyDescent="0.2">
      <c r="A18" s="29" t="s">
        <v>212</v>
      </c>
      <c r="B18" s="13" t="s">
        <v>218</v>
      </c>
      <c r="C18" s="87" t="s">
        <v>534</v>
      </c>
      <c r="D18" s="101">
        <v>3</v>
      </c>
      <c r="E18" s="48">
        <v>0.33329999999999999</v>
      </c>
      <c r="F18" s="88">
        <v>42185</v>
      </c>
      <c r="G18" s="90">
        <v>36</v>
      </c>
      <c r="H18" s="201">
        <f>100/G18</f>
        <v>2.7777777777777777</v>
      </c>
      <c r="I18" s="233">
        <f t="shared" si="1"/>
        <v>80.555555555555557</v>
      </c>
      <c r="J18" s="90">
        <f>(YEAR(F18)-YEAR(S18))*12+MONTH(F18)-MONTH(S18)</f>
        <v>29</v>
      </c>
      <c r="K18" s="233">
        <f>L18*H18</f>
        <v>19.444444444444443</v>
      </c>
      <c r="L18" s="90">
        <f>G18-J18</f>
        <v>7</v>
      </c>
      <c r="M18" s="233">
        <f>N18*H18</f>
        <v>19.444444444444443</v>
      </c>
      <c r="N18" s="90">
        <v>7</v>
      </c>
      <c r="O18" s="233">
        <f t="shared" si="0"/>
        <v>0</v>
      </c>
      <c r="P18" s="90">
        <f t="shared" si="0"/>
        <v>0</v>
      </c>
      <c r="Q18" s="90"/>
      <c r="R18" s="88" t="s">
        <v>595</v>
      </c>
      <c r="S18" s="29">
        <v>41275</v>
      </c>
      <c r="T18" s="222">
        <v>5699</v>
      </c>
      <c r="U18" s="209">
        <v>2058.33</v>
      </c>
      <c r="V18" s="89">
        <f>U18-X18</f>
        <v>1266.8800000000001</v>
      </c>
      <c r="W18" s="89">
        <v>158.29</v>
      </c>
      <c r="X18" s="152">
        <f>W18*5</f>
        <v>791.44999999999993</v>
      </c>
      <c r="Y18" s="233">
        <v>0</v>
      </c>
      <c r="Z18" s="100">
        <v>115.958</v>
      </c>
      <c r="AA18" s="125">
        <v>104.22799999999999</v>
      </c>
      <c r="AB18" s="100">
        <f>Z18/AA18</f>
        <v>1.1125417354261811</v>
      </c>
      <c r="AC18" s="98">
        <f>V18*M18/100/K18*100/7</f>
        <v>180.98285714285717</v>
      </c>
      <c r="AD18" s="98">
        <f>AC18*AB18</f>
        <v>201.35098196810293</v>
      </c>
      <c r="AE18" s="98"/>
      <c r="AF18" s="98"/>
      <c r="AG18" s="98"/>
      <c r="AH18" s="98"/>
      <c r="AI18" s="98"/>
      <c r="AJ18" s="98">
        <f>AD18</f>
        <v>201.35098196810293</v>
      </c>
      <c r="AK18" s="98">
        <v>201.35098196810293</v>
      </c>
      <c r="AL18" s="98">
        <v>201.35098196810293</v>
      </c>
      <c r="AM18" s="98">
        <v>201.35098196810293</v>
      </c>
      <c r="AN18" s="98">
        <v>201.35098196810293</v>
      </c>
      <c r="AO18" s="98">
        <v>201.35098196810293</v>
      </c>
      <c r="AP18" s="98">
        <v>57.77</v>
      </c>
      <c r="AQ18" s="98">
        <f t="shared" si="2"/>
        <v>1265.8758918086176</v>
      </c>
      <c r="AR18" s="116">
        <f>V18-AQ18</f>
        <v>1.0041081913825565</v>
      </c>
    </row>
    <row r="19" spans="1:44" s="22" customFormat="1" x14ac:dyDescent="0.2">
      <c r="A19" s="29" t="s">
        <v>212</v>
      </c>
      <c r="B19" s="13" t="s">
        <v>219</v>
      </c>
      <c r="C19" s="87" t="s">
        <v>534</v>
      </c>
      <c r="D19" s="101">
        <v>3</v>
      </c>
      <c r="E19" s="48">
        <v>0.33329999999999999</v>
      </c>
      <c r="F19" s="88">
        <v>42185</v>
      </c>
      <c r="G19" s="90">
        <v>36</v>
      </c>
      <c r="H19" s="201">
        <f>100/G19</f>
        <v>2.7777777777777777</v>
      </c>
      <c r="I19" s="233">
        <f t="shared" si="1"/>
        <v>80.555555555555557</v>
      </c>
      <c r="J19" s="90">
        <f>(YEAR(F19)-YEAR(S19))*12+MONTH(F19)-MONTH(S19)</f>
        <v>29</v>
      </c>
      <c r="K19" s="233">
        <f>L19*H19</f>
        <v>19.444444444444443</v>
      </c>
      <c r="L19" s="90">
        <f>G19-J19</f>
        <v>7</v>
      </c>
      <c r="M19" s="233">
        <f>N19*H19</f>
        <v>19.444444444444443</v>
      </c>
      <c r="N19" s="90">
        <v>7</v>
      </c>
      <c r="O19" s="233">
        <f t="shared" si="0"/>
        <v>0</v>
      </c>
      <c r="P19" s="90">
        <f t="shared" si="0"/>
        <v>0</v>
      </c>
      <c r="Q19" s="90"/>
      <c r="R19" s="88" t="s">
        <v>595</v>
      </c>
      <c r="S19" s="29">
        <v>41275</v>
      </c>
      <c r="T19" s="222">
        <v>179</v>
      </c>
      <c r="U19" s="209">
        <v>64.67</v>
      </c>
      <c r="V19" s="89">
        <f>U19-X19</f>
        <v>39.820000000000007</v>
      </c>
      <c r="W19" s="89">
        <v>4.97</v>
      </c>
      <c r="X19" s="152">
        <f>W19*5</f>
        <v>24.849999999999998</v>
      </c>
      <c r="Y19" s="233">
        <v>0</v>
      </c>
      <c r="Z19" s="100">
        <v>115.958</v>
      </c>
      <c r="AA19" s="125">
        <v>104.22799999999999</v>
      </c>
      <c r="AB19" s="100">
        <f>Z19/AA19</f>
        <v>1.1125417354261811</v>
      </c>
      <c r="AC19" s="98">
        <f>V19*M19/100/K19*100/7</f>
        <v>5.6885714285714295</v>
      </c>
      <c r="AD19" s="98">
        <f>AC19*AB19</f>
        <v>6.3287731292386482</v>
      </c>
      <c r="AE19" s="98"/>
      <c r="AF19" s="98"/>
      <c r="AG19" s="98"/>
      <c r="AH19" s="98"/>
      <c r="AI19" s="98"/>
      <c r="AJ19" s="98">
        <f>AD19</f>
        <v>6.3287731292386482</v>
      </c>
      <c r="AK19" s="98">
        <v>6.3287731292386482</v>
      </c>
      <c r="AL19" s="98">
        <v>6.3287731292386482</v>
      </c>
      <c r="AM19" s="98">
        <v>6.3287731292386482</v>
      </c>
      <c r="AN19" s="98">
        <v>6.3287731292386482</v>
      </c>
      <c r="AO19" s="98">
        <v>6.3287731292386482</v>
      </c>
      <c r="AP19" s="98">
        <v>0.85</v>
      </c>
      <c r="AQ19" s="98">
        <f t="shared" si="2"/>
        <v>38.822638775431891</v>
      </c>
      <c r="AR19" s="116">
        <f>V19-AQ19</f>
        <v>0.99736122456811671</v>
      </c>
    </row>
    <row r="20" spans="1:44" s="22" customFormat="1" x14ac:dyDescent="0.2">
      <c r="A20" s="41" t="s">
        <v>364</v>
      </c>
      <c r="B20" s="41" t="s">
        <v>27</v>
      </c>
      <c r="C20" s="87"/>
      <c r="D20" s="101"/>
      <c r="E20" s="42"/>
      <c r="F20" s="88"/>
      <c r="G20" s="90"/>
      <c r="H20" s="201"/>
      <c r="I20" s="90"/>
      <c r="J20" s="90"/>
      <c r="K20" s="90"/>
      <c r="L20" s="90"/>
      <c r="M20" s="90"/>
      <c r="N20" s="90"/>
      <c r="O20" s="90"/>
      <c r="P20" s="90"/>
      <c r="Q20" s="90"/>
      <c r="R20" s="88"/>
      <c r="S20" s="30"/>
      <c r="T20" s="223"/>
      <c r="U20" s="210"/>
      <c r="V20" s="89"/>
      <c r="W20" s="89"/>
      <c r="X20" s="152"/>
      <c r="Y20" s="233"/>
      <c r="Z20" s="100"/>
      <c r="AA20" s="126"/>
      <c r="AB20" s="100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116"/>
    </row>
    <row r="21" spans="1:44" s="22" customFormat="1" x14ac:dyDescent="0.2">
      <c r="A21" s="172" t="s">
        <v>365</v>
      </c>
      <c r="B21" s="47"/>
      <c r="C21" s="87"/>
      <c r="D21" s="101"/>
      <c r="E21" s="42"/>
      <c r="F21" s="88"/>
      <c r="G21" s="90"/>
      <c r="H21" s="201"/>
      <c r="I21" s="90"/>
      <c r="J21" s="90"/>
      <c r="K21" s="90"/>
      <c r="L21" s="90"/>
      <c r="M21" s="90"/>
      <c r="N21" s="90"/>
      <c r="O21" s="90"/>
      <c r="P21" s="90"/>
      <c r="Q21" s="90"/>
      <c r="R21" s="88"/>
      <c r="S21" s="29"/>
      <c r="T21" s="222"/>
      <c r="U21" s="211"/>
      <c r="V21" s="89"/>
      <c r="W21" s="89"/>
      <c r="X21" s="152"/>
      <c r="Y21" s="233"/>
      <c r="Z21" s="100"/>
      <c r="AA21" s="127"/>
      <c r="AB21" s="100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116"/>
    </row>
    <row r="22" spans="1:44" s="22" customFormat="1" x14ac:dyDescent="0.2">
      <c r="A22" s="29" t="s">
        <v>367</v>
      </c>
      <c r="B22" s="13" t="s">
        <v>249</v>
      </c>
      <c r="C22" s="87" t="s">
        <v>534</v>
      </c>
      <c r="D22" s="101">
        <v>3</v>
      </c>
      <c r="E22" s="48">
        <v>0.33329999999999999</v>
      </c>
      <c r="F22" s="88">
        <v>42185</v>
      </c>
      <c r="G22" s="90">
        <v>36</v>
      </c>
      <c r="H22" s="201">
        <f>100/G22</f>
        <v>2.7777777777777777</v>
      </c>
      <c r="I22" s="233">
        <f t="shared" ref="I22" si="3">H22*J22</f>
        <v>100</v>
      </c>
      <c r="J22" s="90">
        <v>36</v>
      </c>
      <c r="K22" s="233">
        <f>L22*H22</f>
        <v>0</v>
      </c>
      <c r="L22" s="90">
        <v>0</v>
      </c>
      <c r="M22" s="233">
        <f>N22*H22</f>
        <v>0</v>
      </c>
      <c r="N22" s="90">
        <v>0</v>
      </c>
      <c r="O22" s="233">
        <f>K22-M22</f>
        <v>0</v>
      </c>
      <c r="P22" s="90">
        <f>L22-N22</f>
        <v>0</v>
      </c>
      <c r="Q22" s="90">
        <f>M22-O22</f>
        <v>0</v>
      </c>
      <c r="R22" s="88" t="s">
        <v>595</v>
      </c>
      <c r="S22" s="29">
        <v>40909</v>
      </c>
      <c r="T22" s="222">
        <v>900</v>
      </c>
      <c r="U22" s="211">
        <v>25.07</v>
      </c>
      <c r="V22" s="89">
        <v>1</v>
      </c>
      <c r="W22" s="89">
        <v>0</v>
      </c>
      <c r="X22" s="152">
        <v>25.07</v>
      </c>
      <c r="Y22" s="233">
        <v>0</v>
      </c>
      <c r="Z22" s="100">
        <v>115.958</v>
      </c>
      <c r="AA22" s="125">
        <v>107.678</v>
      </c>
      <c r="AB22" s="100">
        <f>Z22/AA22</f>
        <v>1.0768959304593324</v>
      </c>
      <c r="AC22" s="98">
        <v>0</v>
      </c>
      <c r="AD22" s="98">
        <f>AC22*AB22</f>
        <v>0</v>
      </c>
      <c r="AE22" s="98"/>
      <c r="AF22" s="98"/>
      <c r="AG22" s="98"/>
      <c r="AH22" s="98"/>
      <c r="AI22" s="98"/>
      <c r="AJ22" s="98">
        <f>AD22</f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f>SUM(AE22:AP22)</f>
        <v>0</v>
      </c>
      <c r="AR22" s="116">
        <f>V22-AQ22</f>
        <v>1</v>
      </c>
    </row>
    <row r="23" spans="1:44" s="22" customFormat="1" x14ac:dyDescent="0.2">
      <c r="A23" s="41" t="s">
        <v>68</v>
      </c>
      <c r="B23" s="41" t="s">
        <v>94</v>
      </c>
      <c r="C23" s="87"/>
      <c r="D23" s="101"/>
      <c r="E23" s="48"/>
      <c r="F23" s="88"/>
      <c r="G23" s="90"/>
      <c r="H23" s="201"/>
      <c r="I23" s="90"/>
      <c r="J23" s="90"/>
      <c r="K23" s="90"/>
      <c r="L23" s="90"/>
      <c r="M23" s="90"/>
      <c r="N23" s="90"/>
      <c r="O23" s="90"/>
      <c r="P23" s="90"/>
      <c r="Q23" s="90"/>
      <c r="R23" s="88"/>
      <c r="S23" s="29"/>
      <c r="T23" s="222"/>
      <c r="U23" s="209"/>
      <c r="V23" s="89"/>
      <c r="W23" s="89"/>
      <c r="X23" s="152"/>
      <c r="Y23" s="233"/>
      <c r="Z23" s="100"/>
      <c r="AA23" s="126"/>
      <c r="AB23" s="100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116"/>
    </row>
    <row r="24" spans="1:44" s="22" customFormat="1" x14ac:dyDescent="0.2">
      <c r="A24" s="41" t="s">
        <v>86</v>
      </c>
      <c r="B24" s="13"/>
      <c r="C24" s="178"/>
      <c r="D24" s="157"/>
      <c r="E24" s="48"/>
      <c r="F24" s="24"/>
      <c r="G24" s="24"/>
      <c r="H24" s="256"/>
      <c r="I24" s="24"/>
      <c r="J24" s="24"/>
      <c r="K24" s="24"/>
      <c r="L24" s="24"/>
      <c r="M24" s="24"/>
      <c r="N24" s="24"/>
      <c r="O24" s="24"/>
      <c r="P24" s="24"/>
      <c r="Q24" s="24"/>
      <c r="R24" s="29"/>
      <c r="S24" s="29"/>
      <c r="T24" s="222"/>
      <c r="U24" s="209"/>
      <c r="V24" s="18"/>
      <c r="W24" s="18"/>
      <c r="X24" s="152"/>
      <c r="Y24" s="110"/>
      <c r="Z24" s="110"/>
      <c r="AA24" s="126"/>
      <c r="AB24" s="110"/>
      <c r="AC24" s="109"/>
      <c r="AD24" s="109"/>
      <c r="AE24" s="109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116"/>
    </row>
    <row r="25" spans="1:44" s="22" customFormat="1" x14ac:dyDescent="0.2">
      <c r="A25" s="29" t="s">
        <v>220</v>
      </c>
      <c r="B25" s="13" t="s">
        <v>221</v>
      </c>
      <c r="C25" s="87" t="s">
        <v>534</v>
      </c>
      <c r="D25" s="101">
        <v>10</v>
      </c>
      <c r="E25" s="48">
        <v>0.1</v>
      </c>
      <c r="F25" s="88">
        <v>42185</v>
      </c>
      <c r="G25" s="24">
        <v>120</v>
      </c>
      <c r="H25" s="201">
        <f>100/G25</f>
        <v>0.83333333333333337</v>
      </c>
      <c r="I25" s="233">
        <f t="shared" ref="I25" si="4">H25*J25</f>
        <v>54.166666666666671</v>
      </c>
      <c r="J25" s="90">
        <f>(YEAR(F25)-YEAR(S25))*12+MONTH(F25)-MONTH(S25)</f>
        <v>65</v>
      </c>
      <c r="K25" s="233">
        <f>L25*H25</f>
        <v>45.833333333333336</v>
      </c>
      <c r="L25" s="90">
        <f>G25-J25</f>
        <v>55</v>
      </c>
      <c r="M25" s="233">
        <f>N25*H25</f>
        <v>5.8333333333333339</v>
      </c>
      <c r="N25" s="90">
        <v>7</v>
      </c>
      <c r="O25" s="233">
        <f t="shared" ref="O25:Q26" si="5">K25-M25</f>
        <v>40</v>
      </c>
      <c r="P25" s="90">
        <f t="shared" si="5"/>
        <v>48</v>
      </c>
      <c r="Q25" s="90">
        <f t="shared" si="5"/>
        <v>-34.166666666666664</v>
      </c>
      <c r="R25" s="179" t="s">
        <v>595</v>
      </c>
      <c r="S25" s="29">
        <v>40179</v>
      </c>
      <c r="T25" s="222">
        <v>2499</v>
      </c>
      <c r="U25" s="209">
        <v>1270.28</v>
      </c>
      <c r="V25" s="89">
        <f>U25-X25</f>
        <v>1166.1299999999999</v>
      </c>
      <c r="W25" s="89">
        <v>20.83</v>
      </c>
      <c r="X25" s="152">
        <f>W25*5</f>
        <v>104.14999999999999</v>
      </c>
      <c r="Y25" s="110"/>
      <c r="Z25" s="100">
        <v>115.958</v>
      </c>
      <c r="AA25" s="125">
        <v>107</v>
      </c>
      <c r="AB25" s="100">
        <f>Z25/AA25</f>
        <v>1.0837196261682243</v>
      </c>
      <c r="AC25" s="98">
        <f>V25*M25/100/K25*100/7</f>
        <v>21.202363636363632</v>
      </c>
      <c r="AD25" s="98">
        <f>AC25*AB25</f>
        <v>22.977417593882748</v>
      </c>
      <c r="AE25" s="98"/>
      <c r="AF25" s="98"/>
      <c r="AG25" s="98"/>
      <c r="AH25" s="98"/>
      <c r="AI25" s="98"/>
      <c r="AJ25" s="98">
        <f>AD25</f>
        <v>22.977417593882748</v>
      </c>
      <c r="AK25" s="98">
        <v>22.977417593882748</v>
      </c>
      <c r="AL25" s="98">
        <v>22.977417593882748</v>
      </c>
      <c r="AM25" s="98">
        <v>22.977417593882748</v>
      </c>
      <c r="AN25" s="98">
        <v>22.977417593882748</v>
      </c>
      <c r="AO25" s="98">
        <v>22.977417593882748</v>
      </c>
      <c r="AP25" s="98">
        <v>22.977417593882748</v>
      </c>
      <c r="AQ25" s="98">
        <f>SUM(AE25:AP25)</f>
        <v>160.84192315717922</v>
      </c>
      <c r="AR25" s="116">
        <f>V25-AQ25</f>
        <v>1005.2880768428206</v>
      </c>
    </row>
    <row r="26" spans="1:44" s="22" customFormat="1" x14ac:dyDescent="0.2">
      <c r="A26" s="29" t="s">
        <v>220</v>
      </c>
      <c r="B26" s="13" t="s">
        <v>222</v>
      </c>
      <c r="C26" s="87" t="s">
        <v>534</v>
      </c>
      <c r="D26" s="101">
        <v>10</v>
      </c>
      <c r="E26" s="48">
        <v>0.1</v>
      </c>
      <c r="F26" s="88">
        <v>42185</v>
      </c>
      <c r="G26" s="24">
        <v>120</v>
      </c>
      <c r="H26" s="201">
        <f>100/G26</f>
        <v>0.83333333333333337</v>
      </c>
      <c r="I26" s="233">
        <f t="shared" ref="I26" si="6">H26*J26</f>
        <v>74.166666666666671</v>
      </c>
      <c r="J26" s="90">
        <f>(YEAR(F26)-YEAR(S26))*12+MONTH(F26)-MONTH(S26)</f>
        <v>89</v>
      </c>
      <c r="K26" s="233">
        <f>L26*H26</f>
        <v>25.833333333333336</v>
      </c>
      <c r="L26" s="90">
        <f>G26-J26</f>
        <v>31</v>
      </c>
      <c r="M26" s="233">
        <f>N26*H26</f>
        <v>5.8333333333333339</v>
      </c>
      <c r="N26" s="90">
        <v>7</v>
      </c>
      <c r="O26" s="233">
        <f t="shared" si="5"/>
        <v>20</v>
      </c>
      <c r="P26" s="90">
        <f t="shared" si="5"/>
        <v>24</v>
      </c>
      <c r="Q26" s="90">
        <f t="shared" si="5"/>
        <v>-14.166666666666666</v>
      </c>
      <c r="R26" s="179" t="s">
        <v>595</v>
      </c>
      <c r="S26" s="29">
        <v>39448</v>
      </c>
      <c r="T26" s="222">
        <v>2000</v>
      </c>
      <c r="U26" s="209">
        <v>616.64</v>
      </c>
      <c r="V26" s="89">
        <f>U26-X26</f>
        <v>533.29</v>
      </c>
      <c r="W26" s="89">
        <v>16.670000000000002</v>
      </c>
      <c r="X26" s="152">
        <f>W26*5</f>
        <v>83.350000000000009</v>
      </c>
      <c r="Y26" s="110"/>
      <c r="Z26" s="100">
        <v>115.958</v>
      </c>
      <c r="AA26" s="125">
        <v>107</v>
      </c>
      <c r="AB26" s="100">
        <f>Z26/AA26</f>
        <v>1.0837196261682243</v>
      </c>
      <c r="AC26" s="98">
        <f>V26*M26/100/K26*100/7</f>
        <v>17.202903225806452</v>
      </c>
      <c r="AD26" s="98">
        <f>AC26*AB26</f>
        <v>18.643123852879107</v>
      </c>
      <c r="AE26" s="98"/>
      <c r="AF26" s="98"/>
      <c r="AG26" s="98"/>
      <c r="AH26" s="98"/>
      <c r="AI26" s="98"/>
      <c r="AJ26" s="98">
        <f>AD26</f>
        <v>18.643123852879107</v>
      </c>
      <c r="AK26" s="98">
        <v>18.643123852879107</v>
      </c>
      <c r="AL26" s="98">
        <v>18.643123852879107</v>
      </c>
      <c r="AM26" s="98">
        <v>18.643123852879107</v>
      </c>
      <c r="AN26" s="98">
        <v>18.643123852879107</v>
      </c>
      <c r="AO26" s="98">
        <v>18.643123852879107</v>
      </c>
      <c r="AP26" s="98">
        <v>18.643123852879107</v>
      </c>
      <c r="AQ26" s="98">
        <f>SUM(AE26:AP26)</f>
        <v>130.50186697015377</v>
      </c>
      <c r="AR26" s="116">
        <f>V26-AQ26</f>
        <v>402.78813302984622</v>
      </c>
    </row>
    <row r="27" spans="1:44" s="22" customFormat="1" ht="13.5" x14ac:dyDescent="0.25">
      <c r="A27" s="41" t="s">
        <v>68</v>
      </c>
      <c r="B27" s="41" t="s">
        <v>224</v>
      </c>
      <c r="C27" s="87"/>
      <c r="D27" s="101"/>
      <c r="E27" s="46"/>
      <c r="F27" s="24"/>
      <c r="G27" s="24"/>
      <c r="H27" s="256"/>
      <c r="I27" s="24"/>
      <c r="J27" s="24"/>
      <c r="K27" s="24"/>
      <c r="L27" s="24"/>
      <c r="M27" s="24"/>
      <c r="N27" s="24"/>
      <c r="O27" s="24"/>
      <c r="P27" s="24"/>
      <c r="Q27" s="24"/>
      <c r="R27" s="29"/>
      <c r="S27" s="15"/>
      <c r="T27" s="224"/>
      <c r="U27" s="212"/>
      <c r="V27" s="18"/>
      <c r="W27" s="18"/>
      <c r="X27" s="152"/>
      <c r="Y27" s="110"/>
      <c r="Z27" s="110"/>
      <c r="AA27" s="128"/>
      <c r="AB27" s="110"/>
      <c r="AC27" s="109"/>
      <c r="AD27" s="109"/>
      <c r="AE27" s="109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116"/>
    </row>
    <row r="28" spans="1:44" s="22" customFormat="1" ht="13.5" x14ac:dyDescent="0.25">
      <c r="A28" s="41" t="s">
        <v>223</v>
      </c>
      <c r="B28" s="54"/>
      <c r="C28" s="87"/>
      <c r="D28" s="101"/>
      <c r="E28" s="46"/>
      <c r="F28" s="88"/>
      <c r="G28" s="24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24"/>
      <c r="S28" s="15"/>
      <c r="T28" s="224"/>
      <c r="U28" s="212"/>
      <c r="V28" s="18"/>
      <c r="W28" s="18"/>
      <c r="X28" s="152"/>
      <c r="Y28" s="110"/>
      <c r="Z28" s="100"/>
      <c r="AA28" s="125"/>
      <c r="AB28" s="100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116"/>
    </row>
    <row r="29" spans="1:44" s="22" customFormat="1" x14ac:dyDescent="0.2">
      <c r="A29" s="29" t="s">
        <v>225</v>
      </c>
      <c r="B29" s="145" t="s">
        <v>535</v>
      </c>
      <c r="C29" s="87" t="s">
        <v>534</v>
      </c>
      <c r="D29" s="101">
        <v>3</v>
      </c>
      <c r="E29" s="48">
        <v>0.33329999999999999</v>
      </c>
      <c r="F29" s="88">
        <v>42185</v>
      </c>
      <c r="G29" s="90">
        <v>36</v>
      </c>
      <c r="H29" s="201">
        <f>100/G29</f>
        <v>2.7777777777777777</v>
      </c>
      <c r="I29" s="233">
        <f t="shared" ref="I29:I30" si="7">H29*J29</f>
        <v>100</v>
      </c>
      <c r="J29" s="90">
        <v>36</v>
      </c>
      <c r="K29" s="233">
        <f>L29*H29</f>
        <v>0</v>
      </c>
      <c r="L29" s="90">
        <v>0</v>
      </c>
      <c r="M29" s="233">
        <f>N29*H29</f>
        <v>0</v>
      </c>
      <c r="N29" s="90">
        <v>0</v>
      </c>
      <c r="O29" s="233">
        <f t="shared" ref="O29:Q30" si="8">K29-M29</f>
        <v>0</v>
      </c>
      <c r="P29" s="90">
        <f t="shared" si="8"/>
        <v>0</v>
      </c>
      <c r="Q29" s="90">
        <f t="shared" si="8"/>
        <v>0</v>
      </c>
      <c r="R29" s="88" t="s">
        <v>595</v>
      </c>
      <c r="S29" s="29">
        <v>40909</v>
      </c>
      <c r="T29" s="222">
        <v>335</v>
      </c>
      <c r="U29" s="209">
        <v>9.3800000000000008</v>
      </c>
      <c r="V29" s="89">
        <v>1</v>
      </c>
      <c r="W29" s="89">
        <v>0</v>
      </c>
      <c r="X29" s="152">
        <v>9.3800000000000008</v>
      </c>
      <c r="Y29" s="233">
        <v>0</v>
      </c>
      <c r="Z29" s="100">
        <v>115.958</v>
      </c>
      <c r="AA29" s="125">
        <v>112.88800000000001</v>
      </c>
      <c r="AB29" s="100">
        <f>Z29/AA29</f>
        <v>1.0271950960243781</v>
      </c>
      <c r="AC29" s="98">
        <v>0</v>
      </c>
      <c r="AD29" s="98">
        <v>0</v>
      </c>
      <c r="AE29" s="98"/>
      <c r="AF29" s="98"/>
      <c r="AG29" s="98"/>
      <c r="AH29" s="98"/>
      <c r="AI29" s="98"/>
      <c r="AJ29" s="98">
        <f>AD29</f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v>0</v>
      </c>
      <c r="AP29" s="98">
        <v>0</v>
      </c>
      <c r="AQ29" s="98">
        <f>SUM(AE29:AP29)</f>
        <v>0</v>
      </c>
      <c r="AR29" s="116">
        <f>V29-AQ29</f>
        <v>1</v>
      </c>
    </row>
    <row r="30" spans="1:44" s="22" customFormat="1" x14ac:dyDescent="0.2">
      <c r="A30" s="29" t="s">
        <v>225</v>
      </c>
      <c r="B30" s="13" t="s">
        <v>226</v>
      </c>
      <c r="C30" s="87" t="s">
        <v>534</v>
      </c>
      <c r="D30" s="101">
        <v>3</v>
      </c>
      <c r="E30" s="48">
        <v>0.33329999999999999</v>
      </c>
      <c r="F30" s="88">
        <v>42185</v>
      </c>
      <c r="G30" s="24">
        <v>36</v>
      </c>
      <c r="H30" s="201">
        <f>100/G30</f>
        <v>2.7777777777777777</v>
      </c>
      <c r="I30" s="233">
        <f t="shared" si="7"/>
        <v>100</v>
      </c>
      <c r="J30" s="90">
        <v>36</v>
      </c>
      <c r="K30" s="233">
        <f>L30*H30</f>
        <v>0</v>
      </c>
      <c r="L30" s="90">
        <f>G30-J30</f>
        <v>0</v>
      </c>
      <c r="M30" s="233">
        <f>N30*H30</f>
        <v>0</v>
      </c>
      <c r="N30" s="90">
        <v>0</v>
      </c>
      <c r="O30" s="233">
        <f t="shared" si="8"/>
        <v>0</v>
      </c>
      <c r="P30" s="90">
        <f t="shared" si="8"/>
        <v>0</v>
      </c>
      <c r="Q30" s="90">
        <f t="shared" si="8"/>
        <v>0</v>
      </c>
      <c r="R30" s="171" t="s">
        <v>595</v>
      </c>
      <c r="S30" s="29">
        <v>40544</v>
      </c>
      <c r="T30" s="222">
        <v>59</v>
      </c>
      <c r="U30" s="209">
        <v>21.3</v>
      </c>
      <c r="V30" s="89">
        <v>1</v>
      </c>
      <c r="W30" s="89">
        <v>0</v>
      </c>
      <c r="X30" s="152">
        <v>21.3</v>
      </c>
      <c r="Y30" s="110"/>
      <c r="Z30" s="100">
        <v>115.958</v>
      </c>
      <c r="AA30" s="125">
        <v>112.88800000000001</v>
      </c>
      <c r="AB30" s="100">
        <f>Z30/AA30</f>
        <v>1.0271950960243781</v>
      </c>
      <c r="AC30" s="98">
        <v>0</v>
      </c>
      <c r="AD30" s="98">
        <f>AC30*AB30</f>
        <v>0</v>
      </c>
      <c r="AE30" s="98"/>
      <c r="AF30" s="98"/>
      <c r="AG30" s="98"/>
      <c r="AH30" s="98"/>
      <c r="AI30" s="98"/>
      <c r="AJ30" s="98">
        <f>AD30</f>
        <v>0</v>
      </c>
      <c r="AK30" s="98">
        <v>0</v>
      </c>
      <c r="AL30" s="98">
        <v>0</v>
      </c>
      <c r="AM30" s="98">
        <v>0</v>
      </c>
      <c r="AN30" s="98">
        <v>0</v>
      </c>
      <c r="AO30" s="98">
        <v>0</v>
      </c>
      <c r="AP30" s="98">
        <v>0</v>
      </c>
      <c r="AQ30" s="98">
        <f>SUM(AE30:AP30)</f>
        <v>0</v>
      </c>
      <c r="AR30" s="116">
        <f>V30-AQ30</f>
        <v>1</v>
      </c>
    </row>
    <row r="31" spans="1:44" s="22" customFormat="1" x14ac:dyDescent="0.2">
      <c r="A31" s="41" t="s">
        <v>74</v>
      </c>
      <c r="B31" s="41" t="s">
        <v>28</v>
      </c>
      <c r="C31" s="87"/>
      <c r="D31" s="101"/>
      <c r="E31" s="6"/>
      <c r="F31" s="24"/>
      <c r="G31" s="24"/>
      <c r="H31" s="256"/>
      <c r="I31" s="24"/>
      <c r="J31" s="24"/>
      <c r="K31" s="24"/>
      <c r="L31" s="24"/>
      <c r="M31" s="24"/>
      <c r="N31" s="24"/>
      <c r="O31" s="24"/>
      <c r="P31" s="24"/>
      <c r="Q31" s="24"/>
      <c r="R31" s="29"/>
      <c r="S31" s="30"/>
      <c r="T31" s="223"/>
      <c r="U31" s="210"/>
      <c r="V31" s="18"/>
      <c r="W31" s="18"/>
      <c r="X31" s="152"/>
      <c r="Y31" s="110"/>
      <c r="Z31" s="110"/>
      <c r="AA31" s="128"/>
      <c r="AB31" s="110"/>
      <c r="AC31" s="109"/>
      <c r="AD31" s="109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116"/>
    </row>
    <row r="32" spans="1:44" s="22" customFormat="1" x14ac:dyDescent="0.2">
      <c r="A32" s="41" t="s">
        <v>80</v>
      </c>
      <c r="B32" s="46"/>
      <c r="C32" s="178"/>
      <c r="D32" s="157"/>
      <c r="E32" s="42"/>
      <c r="F32" s="88"/>
      <c r="G32" s="90"/>
      <c r="H32" s="201"/>
      <c r="I32" s="90"/>
      <c r="J32" s="90"/>
      <c r="K32" s="90"/>
      <c r="L32" s="90"/>
      <c r="M32" s="90"/>
      <c r="N32" s="90"/>
      <c r="O32" s="90"/>
      <c r="P32" s="90"/>
      <c r="Q32" s="90"/>
      <c r="R32" s="88"/>
      <c r="S32" s="30"/>
      <c r="T32" s="223"/>
      <c r="U32" s="210"/>
      <c r="V32" s="89"/>
      <c r="W32" s="89"/>
      <c r="X32" s="152"/>
      <c r="Y32" s="233">
        <v>0</v>
      </c>
      <c r="Z32" s="100"/>
      <c r="AA32" s="128"/>
      <c r="AB32" s="100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116"/>
    </row>
    <row r="33" spans="1:44" s="22" customFormat="1" x14ac:dyDescent="0.2">
      <c r="A33" s="29" t="s">
        <v>227</v>
      </c>
      <c r="B33" s="13" t="s">
        <v>228</v>
      </c>
      <c r="C33" s="87" t="s">
        <v>534</v>
      </c>
      <c r="D33" s="101">
        <v>10</v>
      </c>
      <c r="E33" s="38">
        <v>0.1</v>
      </c>
      <c r="F33" s="88">
        <v>42185</v>
      </c>
      <c r="G33" s="24">
        <v>120</v>
      </c>
      <c r="H33" s="201">
        <f t="shared" ref="H33:H38" si="9">100/G33</f>
        <v>0.83333333333333337</v>
      </c>
      <c r="I33" s="233">
        <f t="shared" ref="I33:I38" si="10">H33*J33</f>
        <v>74.166666666666671</v>
      </c>
      <c r="J33" s="90">
        <f t="shared" ref="J33:J38" si="11">(YEAR(F33)-YEAR(S33))*12+MONTH(F33)-MONTH(S33)</f>
        <v>89</v>
      </c>
      <c r="K33" s="233">
        <f t="shared" ref="K33:K38" si="12">L33*H33</f>
        <v>25.833333333333336</v>
      </c>
      <c r="L33" s="90">
        <f t="shared" ref="L33:L38" si="13">G33-J33</f>
        <v>31</v>
      </c>
      <c r="M33" s="233">
        <f t="shared" ref="M33:M38" si="14">N33*H33</f>
        <v>5.8333333333333339</v>
      </c>
      <c r="N33" s="90">
        <v>7</v>
      </c>
      <c r="O33" s="233">
        <f t="shared" ref="O33:Q38" si="15">K33-M33</f>
        <v>20</v>
      </c>
      <c r="P33" s="90">
        <f t="shared" si="15"/>
        <v>24</v>
      </c>
      <c r="Q33" s="90">
        <f t="shared" si="15"/>
        <v>-14.166666666666666</v>
      </c>
      <c r="R33" s="179" t="s">
        <v>595</v>
      </c>
      <c r="S33" s="29">
        <v>39448</v>
      </c>
      <c r="T33" s="222">
        <v>300</v>
      </c>
      <c r="U33" s="211">
        <v>92.5</v>
      </c>
      <c r="V33" s="89">
        <f>U33-X33</f>
        <v>80</v>
      </c>
      <c r="W33" s="89">
        <v>2.5</v>
      </c>
      <c r="X33" s="152">
        <f>W33*5</f>
        <v>12.5</v>
      </c>
      <c r="Y33" s="110"/>
      <c r="Z33" s="100">
        <v>115.958</v>
      </c>
      <c r="AA33" s="125">
        <v>140.047</v>
      </c>
      <c r="AB33" s="100">
        <f t="shared" ref="AB33:AB38" si="16">Z33/AA33</f>
        <v>0.82799345933865065</v>
      </c>
      <c r="AC33" s="98">
        <f>V33*M33/100/K33*100/7</f>
        <v>2.580645161290323</v>
      </c>
      <c r="AD33" s="98">
        <f t="shared" ref="AD33:AD38" si="17">AC33*AB33</f>
        <v>2.1367573144223244</v>
      </c>
      <c r="AE33" s="98"/>
      <c r="AF33" s="98"/>
      <c r="AG33" s="98"/>
      <c r="AH33" s="98"/>
      <c r="AI33" s="98"/>
      <c r="AJ33" s="98">
        <f t="shared" ref="AJ33:AJ38" si="18">AD33</f>
        <v>2.1367573144223244</v>
      </c>
      <c r="AK33" s="98">
        <v>2.1367573144223244</v>
      </c>
      <c r="AL33" s="98">
        <v>2.1367573144223244</v>
      </c>
      <c r="AM33" s="98">
        <v>2.1367573144223244</v>
      </c>
      <c r="AN33" s="98">
        <v>2.1367573144223244</v>
      </c>
      <c r="AO33" s="98">
        <v>2.1367573144223244</v>
      </c>
      <c r="AP33" s="98">
        <v>2.1367573144223244</v>
      </c>
      <c r="AQ33" s="98">
        <f>SUM(AE33:AP33)</f>
        <v>14.95730120095627</v>
      </c>
      <c r="AR33" s="116">
        <f>V33-AQ33</f>
        <v>65.042698799043734</v>
      </c>
    </row>
    <row r="34" spans="1:44" s="22" customFormat="1" x14ac:dyDescent="0.2">
      <c r="A34" s="29" t="s">
        <v>227</v>
      </c>
      <c r="B34" s="13" t="s">
        <v>43</v>
      </c>
      <c r="C34" s="87" t="s">
        <v>534</v>
      </c>
      <c r="D34" s="101">
        <v>10</v>
      </c>
      <c r="E34" s="38">
        <v>0.1</v>
      </c>
      <c r="F34" s="88">
        <v>42185</v>
      </c>
      <c r="G34" s="24">
        <v>120</v>
      </c>
      <c r="H34" s="201">
        <f t="shared" si="9"/>
        <v>0.83333333333333337</v>
      </c>
      <c r="I34" s="233">
        <f t="shared" si="10"/>
        <v>44.166666666666671</v>
      </c>
      <c r="J34" s="90">
        <f t="shared" si="11"/>
        <v>53</v>
      </c>
      <c r="K34" s="233">
        <f t="shared" si="12"/>
        <v>55.833333333333336</v>
      </c>
      <c r="L34" s="90">
        <f t="shared" si="13"/>
        <v>67</v>
      </c>
      <c r="M34" s="233">
        <f t="shared" si="14"/>
        <v>5.8333333333333339</v>
      </c>
      <c r="N34" s="90">
        <v>7</v>
      </c>
      <c r="O34" s="233">
        <f t="shared" si="15"/>
        <v>50</v>
      </c>
      <c r="P34" s="90">
        <f t="shared" si="15"/>
        <v>60</v>
      </c>
      <c r="Q34" s="90">
        <f t="shared" si="15"/>
        <v>-44.166666666666664</v>
      </c>
      <c r="R34" s="179" t="s">
        <v>595</v>
      </c>
      <c r="S34" s="29">
        <v>40544</v>
      </c>
      <c r="T34" s="222">
        <v>600</v>
      </c>
      <c r="U34" s="211">
        <v>365</v>
      </c>
      <c r="V34" s="89">
        <f>U34-X34</f>
        <v>340</v>
      </c>
      <c r="W34" s="89">
        <v>5</v>
      </c>
      <c r="X34" s="152">
        <f>W34*5</f>
        <v>25</v>
      </c>
      <c r="Y34" s="110"/>
      <c r="Z34" s="100">
        <v>115.958</v>
      </c>
      <c r="AA34" s="125">
        <v>107.678</v>
      </c>
      <c r="AB34" s="100">
        <f t="shared" si="16"/>
        <v>1.0768959304593324</v>
      </c>
      <c r="AC34" s="98">
        <f>V34*M34/100/K34*100/7</f>
        <v>5.0746268656716413</v>
      </c>
      <c r="AD34" s="98">
        <f t="shared" si="17"/>
        <v>5.4648450202413876</v>
      </c>
      <c r="AE34" s="98"/>
      <c r="AF34" s="98"/>
      <c r="AG34" s="98"/>
      <c r="AH34" s="98"/>
      <c r="AI34" s="98"/>
      <c r="AJ34" s="98">
        <f t="shared" si="18"/>
        <v>5.4648450202413876</v>
      </c>
      <c r="AK34" s="98">
        <v>5.4648450202413876</v>
      </c>
      <c r="AL34" s="98">
        <v>5.4648450202413876</v>
      </c>
      <c r="AM34" s="98">
        <v>5.4648450202413876</v>
      </c>
      <c r="AN34" s="98">
        <v>5.4648450202413876</v>
      </c>
      <c r="AO34" s="98">
        <v>5.4648450202413876</v>
      </c>
      <c r="AP34" s="98">
        <v>5.4648450202413876</v>
      </c>
      <c r="AQ34" s="98">
        <f>SUM(AE34:AP34)</f>
        <v>38.253915141689717</v>
      </c>
      <c r="AR34" s="116">
        <f>V34-AQ34</f>
        <v>301.74608485831027</v>
      </c>
    </row>
    <row r="35" spans="1:44" s="22" customFormat="1" x14ac:dyDescent="0.2">
      <c r="A35" s="41" t="s">
        <v>68</v>
      </c>
      <c r="B35" s="41" t="s">
        <v>92</v>
      </c>
      <c r="C35" s="87"/>
      <c r="D35" s="101"/>
      <c r="E35" s="48"/>
      <c r="F35" s="88"/>
      <c r="G35" s="90"/>
      <c r="H35" s="201"/>
      <c r="I35" s="233"/>
      <c r="J35" s="90"/>
      <c r="K35" s="233"/>
      <c r="L35" s="90"/>
      <c r="M35" s="233"/>
      <c r="N35" s="90"/>
      <c r="O35" s="233"/>
      <c r="P35" s="90"/>
      <c r="Q35" s="90"/>
      <c r="R35" s="90"/>
      <c r="S35" s="29"/>
      <c r="T35" s="222"/>
      <c r="U35" s="209"/>
      <c r="V35" s="89"/>
      <c r="W35" s="89"/>
      <c r="X35" s="152"/>
      <c r="Y35" s="233"/>
      <c r="Z35" s="100"/>
      <c r="AA35" s="125"/>
      <c r="AB35" s="100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116"/>
    </row>
    <row r="36" spans="1:44" s="22" customFormat="1" x14ac:dyDescent="0.2">
      <c r="A36" s="41" t="s">
        <v>87</v>
      </c>
      <c r="B36" s="13"/>
      <c r="C36" s="178"/>
      <c r="D36" s="157"/>
      <c r="E36" s="48"/>
      <c r="F36" s="88"/>
      <c r="G36" s="90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179"/>
      <c r="S36" s="29"/>
      <c r="T36" s="222"/>
      <c r="U36" s="209"/>
      <c r="V36" s="18"/>
      <c r="W36" s="18"/>
      <c r="X36" s="152"/>
      <c r="Y36" s="110"/>
      <c r="Z36" s="100"/>
      <c r="AA36" s="125"/>
      <c r="AB36" s="100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116"/>
    </row>
    <row r="37" spans="1:44" s="22" customFormat="1" x14ac:dyDescent="0.2">
      <c r="A37" s="29" t="s">
        <v>229</v>
      </c>
      <c r="B37" s="13" t="s">
        <v>230</v>
      </c>
      <c r="C37" s="87" t="s">
        <v>534</v>
      </c>
      <c r="D37" s="101">
        <v>10</v>
      </c>
      <c r="E37" s="48">
        <v>0.1</v>
      </c>
      <c r="F37" s="88">
        <v>42185</v>
      </c>
      <c r="G37" s="90">
        <v>120</v>
      </c>
      <c r="H37" s="201">
        <f t="shared" si="9"/>
        <v>0.83333333333333337</v>
      </c>
      <c r="I37" s="233">
        <f t="shared" si="10"/>
        <v>64.166666666666671</v>
      </c>
      <c r="J37" s="90">
        <f t="shared" si="11"/>
        <v>77</v>
      </c>
      <c r="K37" s="233">
        <f t="shared" si="12"/>
        <v>35.833333333333336</v>
      </c>
      <c r="L37" s="90">
        <f t="shared" si="13"/>
        <v>43</v>
      </c>
      <c r="M37" s="233">
        <f t="shared" si="14"/>
        <v>5.8333333333333339</v>
      </c>
      <c r="N37" s="90">
        <v>7</v>
      </c>
      <c r="O37" s="233">
        <f t="shared" si="15"/>
        <v>30</v>
      </c>
      <c r="P37" s="90">
        <f t="shared" si="15"/>
        <v>36</v>
      </c>
      <c r="Q37" s="90">
        <f t="shared" si="15"/>
        <v>-24.166666666666664</v>
      </c>
      <c r="R37" s="179" t="s">
        <v>595</v>
      </c>
      <c r="S37" s="29">
        <v>39814</v>
      </c>
      <c r="T37" s="222">
        <v>239</v>
      </c>
      <c r="U37" s="209">
        <v>97.61</v>
      </c>
      <c r="V37" s="89">
        <f>U37-X37</f>
        <v>87.66</v>
      </c>
      <c r="W37" s="89">
        <v>1.99</v>
      </c>
      <c r="X37" s="152">
        <f>W37*5</f>
        <v>9.9499999999999993</v>
      </c>
      <c r="Y37" s="110"/>
      <c r="Z37" s="100">
        <v>115.958</v>
      </c>
      <c r="AA37" s="125">
        <v>107.678</v>
      </c>
      <c r="AB37" s="100">
        <f t="shared" si="16"/>
        <v>1.0768959304593324</v>
      </c>
      <c r="AC37" s="98">
        <f>V37*M37/100/K37*100/7</f>
        <v>2.0386046511627907</v>
      </c>
      <c r="AD37" s="98">
        <f t="shared" si="17"/>
        <v>2.1953650526526762</v>
      </c>
      <c r="AE37" s="98"/>
      <c r="AF37" s="98"/>
      <c r="AG37" s="98"/>
      <c r="AH37" s="98"/>
      <c r="AI37" s="98"/>
      <c r="AJ37" s="98">
        <f t="shared" si="18"/>
        <v>2.1953650526526762</v>
      </c>
      <c r="AK37" s="98">
        <v>2.1953650526526762</v>
      </c>
      <c r="AL37" s="98">
        <v>2.1953650526526762</v>
      </c>
      <c r="AM37" s="98">
        <v>2.1953650526526762</v>
      </c>
      <c r="AN37" s="98">
        <v>2.1953650526526762</v>
      </c>
      <c r="AO37" s="98">
        <v>2.1953650526526762</v>
      </c>
      <c r="AP37" s="98">
        <v>2.1953650526526762</v>
      </c>
      <c r="AQ37" s="98">
        <f>SUM(AE37:AP37)</f>
        <v>15.367555368568732</v>
      </c>
      <c r="AR37" s="116">
        <f>V37-AQ37</f>
        <v>72.292444631431266</v>
      </c>
    </row>
    <row r="38" spans="1:44" s="22" customFormat="1" x14ac:dyDescent="0.2">
      <c r="A38" s="29" t="s">
        <v>229</v>
      </c>
      <c r="B38" s="13" t="s">
        <v>231</v>
      </c>
      <c r="C38" s="87" t="s">
        <v>534</v>
      </c>
      <c r="D38" s="101">
        <v>10</v>
      </c>
      <c r="E38" s="48">
        <v>0.1</v>
      </c>
      <c r="F38" s="88">
        <v>42185</v>
      </c>
      <c r="G38" s="90">
        <v>120</v>
      </c>
      <c r="H38" s="201">
        <f t="shared" si="9"/>
        <v>0.83333333333333337</v>
      </c>
      <c r="I38" s="233">
        <f t="shared" si="10"/>
        <v>44.166666666666671</v>
      </c>
      <c r="J38" s="90">
        <f t="shared" si="11"/>
        <v>53</v>
      </c>
      <c r="K38" s="233">
        <f t="shared" si="12"/>
        <v>55.833333333333336</v>
      </c>
      <c r="L38" s="90">
        <f t="shared" si="13"/>
        <v>67</v>
      </c>
      <c r="M38" s="233">
        <f t="shared" si="14"/>
        <v>5.8333333333333339</v>
      </c>
      <c r="N38" s="90">
        <v>7</v>
      </c>
      <c r="O38" s="233">
        <f t="shared" si="15"/>
        <v>50</v>
      </c>
      <c r="P38" s="90">
        <f t="shared" si="15"/>
        <v>60</v>
      </c>
      <c r="Q38" s="90">
        <f t="shared" si="15"/>
        <v>-44.166666666666664</v>
      </c>
      <c r="R38" s="90" t="s">
        <v>595</v>
      </c>
      <c r="S38" s="29">
        <v>40544</v>
      </c>
      <c r="T38" s="222">
        <v>738</v>
      </c>
      <c r="U38" s="209">
        <v>448.95</v>
      </c>
      <c r="V38" s="89">
        <f>U38-X38</f>
        <v>418.2</v>
      </c>
      <c r="W38" s="89">
        <v>6.15</v>
      </c>
      <c r="X38" s="152">
        <f>W38*5</f>
        <v>30.75</v>
      </c>
      <c r="Y38" s="233">
        <v>0</v>
      </c>
      <c r="Z38" s="100">
        <v>115.958</v>
      </c>
      <c r="AA38" s="125">
        <v>134.071</v>
      </c>
      <c r="AB38" s="100">
        <f t="shared" si="16"/>
        <v>0.8648999410759971</v>
      </c>
      <c r="AC38" s="98">
        <f>V38*M38/100/K38*100/7</f>
        <v>6.2417910447761198</v>
      </c>
      <c r="AD38" s="98">
        <f t="shared" si="17"/>
        <v>5.398524706835552</v>
      </c>
      <c r="AE38" s="98"/>
      <c r="AF38" s="98"/>
      <c r="AG38" s="98"/>
      <c r="AH38" s="98"/>
      <c r="AI38" s="98"/>
      <c r="AJ38" s="98">
        <f t="shared" si="18"/>
        <v>5.398524706835552</v>
      </c>
      <c r="AK38" s="98">
        <v>5.398524706835552</v>
      </c>
      <c r="AL38" s="98">
        <v>5.398524706835552</v>
      </c>
      <c r="AM38" s="98">
        <v>5.398524706835552</v>
      </c>
      <c r="AN38" s="98">
        <v>5.398524706835552</v>
      </c>
      <c r="AO38" s="98">
        <v>5.398524706835552</v>
      </c>
      <c r="AP38" s="98">
        <v>5.398524706835552</v>
      </c>
      <c r="AQ38" s="98">
        <f>SUM(AE38:AP38)</f>
        <v>37.789672947848864</v>
      </c>
      <c r="AR38" s="116">
        <f>V38-AQ38</f>
        <v>380.4103270521511</v>
      </c>
    </row>
    <row r="39" spans="1:44" s="22" customFormat="1" x14ac:dyDescent="0.2">
      <c r="A39" s="29" t="s">
        <v>229</v>
      </c>
      <c r="B39" s="13" t="s">
        <v>230</v>
      </c>
      <c r="C39" s="87" t="s">
        <v>534</v>
      </c>
      <c r="D39" s="101">
        <v>10</v>
      </c>
      <c r="E39" s="48">
        <v>0.1</v>
      </c>
      <c r="F39" s="88">
        <v>42185</v>
      </c>
      <c r="G39" s="90">
        <v>120</v>
      </c>
      <c r="H39" s="201">
        <f t="shared" ref="H39" si="19">100/G39</f>
        <v>0.83333333333333337</v>
      </c>
      <c r="I39" s="233">
        <f t="shared" ref="I39" si="20">H39*J39</f>
        <v>64.166666666666671</v>
      </c>
      <c r="J39" s="90">
        <f t="shared" ref="J39" si="21">(YEAR(F39)-YEAR(S39))*12+MONTH(F39)-MONTH(S39)</f>
        <v>77</v>
      </c>
      <c r="K39" s="233">
        <f t="shared" ref="K39" si="22">L39*H39</f>
        <v>35.833333333333336</v>
      </c>
      <c r="L39" s="90">
        <f t="shared" ref="L39" si="23">G39-J39</f>
        <v>43</v>
      </c>
      <c r="M39" s="233">
        <f t="shared" ref="M39" si="24">N39*H39</f>
        <v>5.8333333333333339</v>
      </c>
      <c r="N39" s="90">
        <v>7</v>
      </c>
      <c r="O39" s="233">
        <f t="shared" ref="O39" si="25">K39-M39</f>
        <v>30</v>
      </c>
      <c r="P39" s="90">
        <f t="shared" ref="P39" si="26">L39-N39</f>
        <v>36</v>
      </c>
      <c r="Q39" s="90">
        <f t="shared" ref="Q39" si="27">M39-O39</f>
        <v>-24.166666666666664</v>
      </c>
      <c r="R39" s="90" t="s">
        <v>595</v>
      </c>
      <c r="S39" s="29">
        <v>39814</v>
      </c>
      <c r="T39" s="222">
        <v>239</v>
      </c>
      <c r="U39" s="209">
        <v>97.61</v>
      </c>
      <c r="V39" s="89">
        <f>U39-X39</f>
        <v>87.66</v>
      </c>
      <c r="W39" s="89">
        <v>1.99</v>
      </c>
      <c r="X39" s="152">
        <f>W39*5</f>
        <v>9.9499999999999993</v>
      </c>
      <c r="Y39" s="233">
        <v>0</v>
      </c>
      <c r="Z39" s="100">
        <v>115.958</v>
      </c>
      <c r="AA39" s="125">
        <v>134.071</v>
      </c>
      <c r="AB39" s="100">
        <f t="shared" ref="AB39" si="28">Z39/AA39</f>
        <v>0.8648999410759971</v>
      </c>
      <c r="AC39" s="98">
        <f t="shared" ref="AC39" si="29">V39*M39/100/K39*100/7</f>
        <v>2.0386046511627907</v>
      </c>
      <c r="AD39" s="98">
        <f t="shared" ref="AD39" si="30">AC39*AB39</f>
        <v>1.7631890426679513</v>
      </c>
      <c r="AE39" s="98"/>
      <c r="AF39" s="98"/>
      <c r="AG39" s="98"/>
      <c r="AH39" s="98"/>
      <c r="AI39" s="98"/>
      <c r="AJ39" s="98">
        <f t="shared" ref="AJ39" si="31">AD39</f>
        <v>1.7631890426679513</v>
      </c>
      <c r="AK39" s="98">
        <v>1.7631890426679513</v>
      </c>
      <c r="AL39" s="98">
        <v>1.7631890426679513</v>
      </c>
      <c r="AM39" s="98">
        <v>1.7631890426679513</v>
      </c>
      <c r="AN39" s="98">
        <v>1.7631890426679513</v>
      </c>
      <c r="AO39" s="98">
        <v>1.7631890426679513</v>
      </c>
      <c r="AP39" s="98">
        <v>1.7631890426679513</v>
      </c>
      <c r="AQ39" s="98">
        <f>SUM(AE39:AP39)</f>
        <v>12.342323298675659</v>
      </c>
      <c r="AR39" s="116">
        <f>V39-AQ39</f>
        <v>75.317676701324331</v>
      </c>
    </row>
    <row r="40" spans="1:44" s="22" customFormat="1" x14ac:dyDescent="0.2">
      <c r="A40" s="41" t="s">
        <v>74</v>
      </c>
      <c r="B40" s="41" t="s">
        <v>90</v>
      </c>
      <c r="C40" s="87"/>
      <c r="D40" s="101"/>
      <c r="E40" s="38"/>
      <c r="F40" s="88"/>
      <c r="G40" s="90"/>
      <c r="H40" s="201"/>
      <c r="I40" s="90"/>
      <c r="J40" s="90"/>
      <c r="K40" s="90"/>
      <c r="L40" s="90"/>
      <c r="M40" s="90"/>
      <c r="N40" s="90"/>
      <c r="O40" s="90"/>
      <c r="P40" s="90"/>
      <c r="Q40" s="90"/>
      <c r="R40" s="88"/>
      <c r="S40" s="29"/>
      <c r="T40" s="222"/>
      <c r="U40" s="211"/>
      <c r="V40" s="89"/>
      <c r="W40" s="89"/>
      <c r="X40" s="152"/>
      <c r="Y40" s="233">
        <v>0</v>
      </c>
      <c r="Z40" s="100"/>
      <c r="AA40" s="128"/>
      <c r="AB40" s="100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116"/>
    </row>
    <row r="41" spans="1:44" s="22" customFormat="1" x14ac:dyDescent="0.2">
      <c r="A41" s="41" t="s">
        <v>110</v>
      </c>
      <c r="B41" s="13"/>
      <c r="C41" s="87"/>
      <c r="D41" s="101"/>
      <c r="E41" s="38"/>
      <c r="F41" s="88"/>
      <c r="G41" s="90"/>
      <c r="H41" s="201"/>
      <c r="I41" s="233"/>
      <c r="J41" s="90"/>
      <c r="K41" s="233"/>
      <c r="L41" s="90"/>
      <c r="M41" s="233"/>
      <c r="N41" s="90"/>
      <c r="O41" s="233"/>
      <c r="P41" s="90"/>
      <c r="Q41" s="90"/>
      <c r="R41" s="88"/>
      <c r="S41" s="29"/>
      <c r="T41" s="222"/>
      <c r="U41" s="211"/>
      <c r="V41" s="89"/>
      <c r="W41" s="89"/>
      <c r="X41" s="152"/>
      <c r="Y41" s="233"/>
      <c r="Z41" s="100"/>
      <c r="AA41" s="125"/>
      <c r="AB41" s="100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116"/>
    </row>
    <row r="42" spans="1:44" s="22" customFormat="1" x14ac:dyDescent="0.2">
      <c r="A42" s="29" t="s">
        <v>236</v>
      </c>
      <c r="B42" s="145" t="s">
        <v>546</v>
      </c>
      <c r="C42" s="87" t="s">
        <v>534</v>
      </c>
      <c r="D42" s="101">
        <v>10</v>
      </c>
      <c r="E42" s="38">
        <v>0.1</v>
      </c>
      <c r="F42" s="88">
        <v>42185</v>
      </c>
      <c r="G42" s="90">
        <v>120</v>
      </c>
      <c r="H42" s="201">
        <f>100/G42</f>
        <v>0.83333333333333337</v>
      </c>
      <c r="I42" s="233">
        <f t="shared" ref="I42" si="32">H42*J42</f>
        <v>74.166666666666671</v>
      </c>
      <c r="J42" s="90">
        <f>(YEAR(F42)-YEAR(S42))*12+MONTH(F42)-MONTH(S42)</f>
        <v>89</v>
      </c>
      <c r="K42" s="233">
        <f>L42*H42</f>
        <v>25.833333333333336</v>
      </c>
      <c r="L42" s="90">
        <f>G42-J42</f>
        <v>31</v>
      </c>
      <c r="M42" s="233">
        <f>N42*H42</f>
        <v>5.8333333333333339</v>
      </c>
      <c r="N42" s="90">
        <v>7</v>
      </c>
      <c r="O42" s="233">
        <f t="shared" ref="O42:Q42" si="33">K42-M42</f>
        <v>20</v>
      </c>
      <c r="P42" s="90">
        <f t="shared" si="33"/>
        <v>24</v>
      </c>
      <c r="Q42" s="90">
        <f t="shared" si="33"/>
        <v>-14.166666666666666</v>
      </c>
      <c r="R42" s="88" t="s">
        <v>595</v>
      </c>
      <c r="S42" s="29">
        <v>39448</v>
      </c>
      <c r="T42" s="222">
        <v>999</v>
      </c>
      <c r="U42" s="211">
        <v>307.98</v>
      </c>
      <c r="V42" s="89">
        <f>U42-X42</f>
        <v>266.33000000000004</v>
      </c>
      <c r="W42" s="89">
        <v>8.33</v>
      </c>
      <c r="X42" s="152">
        <f>W42*5</f>
        <v>41.65</v>
      </c>
      <c r="Y42" s="233">
        <v>0</v>
      </c>
      <c r="Z42" s="100">
        <v>115.958</v>
      </c>
      <c r="AA42" s="125">
        <v>140.047</v>
      </c>
      <c r="AB42" s="100">
        <f>Z42/AA42</f>
        <v>0.82799345933865065</v>
      </c>
      <c r="AC42" s="98">
        <f>V42*M42/100/K42*100/7</f>
        <v>8.5912903225806474</v>
      </c>
      <c r="AD42" s="98">
        <f>AC42*AB42</f>
        <v>7.113532194376222</v>
      </c>
      <c r="AE42" s="98"/>
      <c r="AF42" s="98"/>
      <c r="AG42" s="98"/>
      <c r="AH42" s="98"/>
      <c r="AI42" s="98"/>
      <c r="AJ42" s="98">
        <f>AD42</f>
        <v>7.113532194376222</v>
      </c>
      <c r="AK42" s="98">
        <v>7.113532194376222</v>
      </c>
      <c r="AL42" s="98">
        <v>7.113532194376222</v>
      </c>
      <c r="AM42" s="98">
        <v>7.113532194376222</v>
      </c>
      <c r="AN42" s="98">
        <v>7.113532194376222</v>
      </c>
      <c r="AO42" s="98">
        <v>7.113532194376222</v>
      </c>
      <c r="AP42" s="98">
        <v>7.113532194376222</v>
      </c>
      <c r="AQ42" s="98">
        <f>SUM(AE42:AP42)</f>
        <v>49.794725360633549</v>
      </c>
      <c r="AR42" s="116">
        <f>V42-AQ42</f>
        <v>216.53527463936649</v>
      </c>
    </row>
    <row r="43" spans="1:44" s="22" customFormat="1" x14ac:dyDescent="0.2">
      <c r="A43" s="41" t="s">
        <v>74</v>
      </c>
      <c r="B43" s="41" t="s">
        <v>246</v>
      </c>
      <c r="C43" s="46"/>
      <c r="D43" s="119"/>
      <c r="E43" s="38"/>
      <c r="F43" s="24"/>
      <c r="G43" s="24"/>
      <c r="H43" s="256"/>
      <c r="I43" s="24"/>
      <c r="J43" s="24"/>
      <c r="K43" s="24"/>
      <c r="L43" s="24"/>
      <c r="M43" s="24"/>
      <c r="N43" s="24"/>
      <c r="O43" s="24"/>
      <c r="P43" s="24"/>
      <c r="Q43" s="24"/>
      <c r="R43" s="29"/>
      <c r="S43" s="29"/>
      <c r="T43" s="222"/>
      <c r="U43" s="211"/>
      <c r="V43" s="18"/>
      <c r="W43" s="18"/>
      <c r="X43" s="152"/>
      <c r="Y43" s="110"/>
      <c r="Z43" s="110"/>
      <c r="AA43" s="128"/>
      <c r="AB43" s="110"/>
      <c r="AC43" s="109"/>
      <c r="AD43" s="109"/>
      <c r="AE43" s="109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116"/>
    </row>
    <row r="44" spans="1:44" s="22" customFormat="1" x14ac:dyDescent="0.2">
      <c r="A44" s="214" t="s">
        <v>245</v>
      </c>
      <c r="B44" s="215"/>
      <c r="C44" s="46"/>
      <c r="D44" s="119"/>
      <c r="E44" s="38"/>
      <c r="F44" s="24"/>
      <c r="G44" s="24"/>
      <c r="H44" s="256"/>
      <c r="I44" s="24"/>
      <c r="J44" s="24"/>
      <c r="K44" s="24"/>
      <c r="L44" s="24"/>
      <c r="M44" s="24"/>
      <c r="N44" s="24"/>
      <c r="O44" s="24"/>
      <c r="P44" s="24"/>
      <c r="Q44" s="24"/>
      <c r="R44" s="29"/>
      <c r="S44" s="29"/>
      <c r="T44" s="222"/>
      <c r="U44" s="211"/>
      <c r="V44" s="18"/>
      <c r="W44" s="18"/>
      <c r="X44" s="152"/>
      <c r="Y44" s="110"/>
      <c r="Z44" s="110"/>
      <c r="AA44" s="128"/>
      <c r="AB44" s="110"/>
      <c r="AC44" s="109"/>
      <c r="AD44" s="109"/>
      <c r="AE44" s="109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116"/>
    </row>
    <row r="45" spans="1:44" s="22" customFormat="1" x14ac:dyDescent="0.2">
      <c r="A45" s="29" t="s">
        <v>247</v>
      </c>
      <c r="B45" s="13" t="s">
        <v>248</v>
      </c>
      <c r="C45" s="87" t="s">
        <v>534</v>
      </c>
      <c r="D45" s="101">
        <v>10</v>
      </c>
      <c r="E45" s="38">
        <v>0.1</v>
      </c>
      <c r="F45" s="88">
        <v>42185</v>
      </c>
      <c r="G45" s="90">
        <v>120</v>
      </c>
      <c r="H45" s="201">
        <f>100/G45</f>
        <v>0.83333333333333337</v>
      </c>
      <c r="I45" s="233">
        <f t="shared" ref="I45" si="34">H45*J45</f>
        <v>34.166666666666671</v>
      </c>
      <c r="J45" s="90">
        <f>(YEAR(F45)-YEAR(S45))*12+MONTH(F45)-MONTH(S45)</f>
        <v>41</v>
      </c>
      <c r="K45" s="233">
        <f>L45*H45</f>
        <v>65.833333333333343</v>
      </c>
      <c r="L45" s="90">
        <f>G45-J45</f>
        <v>79</v>
      </c>
      <c r="M45" s="233">
        <f>N45*H45</f>
        <v>5.8333333333333339</v>
      </c>
      <c r="N45" s="90">
        <v>7</v>
      </c>
      <c r="O45" s="233">
        <f>K45-M45</f>
        <v>60.000000000000007</v>
      </c>
      <c r="P45" s="90">
        <f>L45-N45</f>
        <v>72</v>
      </c>
      <c r="Q45" s="90">
        <f>M45-O45</f>
        <v>-54.166666666666671</v>
      </c>
      <c r="R45" s="88" t="s">
        <v>595</v>
      </c>
      <c r="S45" s="29">
        <v>40909</v>
      </c>
      <c r="T45" s="222">
        <v>240</v>
      </c>
      <c r="U45" s="211">
        <v>170</v>
      </c>
      <c r="V45" s="89">
        <f>U45-X45</f>
        <v>160</v>
      </c>
      <c r="W45" s="89">
        <v>2</v>
      </c>
      <c r="X45" s="152">
        <f>W45*5</f>
        <v>10</v>
      </c>
      <c r="Y45" s="233">
        <v>0</v>
      </c>
      <c r="Z45" s="100">
        <v>115.958</v>
      </c>
      <c r="AA45" s="125">
        <v>107</v>
      </c>
      <c r="AB45" s="100">
        <f>Z45/AA45</f>
        <v>1.0837196261682243</v>
      </c>
      <c r="AC45" s="98">
        <f>V45*M45/100/K45*100/7</f>
        <v>2.0253164556962027</v>
      </c>
      <c r="AD45" s="98">
        <f>AC45*AB45</f>
        <v>2.1948751922394418</v>
      </c>
      <c r="AE45" s="98"/>
      <c r="AF45" s="98"/>
      <c r="AG45" s="98"/>
      <c r="AH45" s="98"/>
      <c r="AI45" s="98"/>
      <c r="AJ45" s="98">
        <f>AD45</f>
        <v>2.1948751922394418</v>
      </c>
      <c r="AK45" s="98">
        <v>2.1948751922394418</v>
      </c>
      <c r="AL45" s="98">
        <v>2.1948751922394418</v>
      </c>
      <c r="AM45" s="98">
        <v>2.1948751922394418</v>
      </c>
      <c r="AN45" s="98">
        <v>2.1948751922394418</v>
      </c>
      <c r="AO45" s="98">
        <v>2.1948751922394418</v>
      </c>
      <c r="AP45" s="98">
        <v>2.1948751922394418</v>
      </c>
      <c r="AQ45" s="98">
        <f>SUM(AE45:AP45)</f>
        <v>15.364126345676093</v>
      </c>
      <c r="AR45" s="116">
        <f>V45-AQ45</f>
        <v>144.63587365432392</v>
      </c>
    </row>
    <row r="46" spans="1:44" x14ac:dyDescent="0.2">
      <c r="R46" s="243"/>
      <c r="X46" s="309"/>
      <c r="AD46" s="263"/>
      <c r="AJ46" s="263">
        <f t="shared" ref="AJ46" si="35">SUM(AJ15:AJ45)</f>
        <v>376.61579717194553</v>
      </c>
      <c r="AK46" s="263"/>
      <c r="AL46" s="263"/>
      <c r="AM46" s="263"/>
      <c r="AN46" s="263"/>
      <c r="AO46" s="263"/>
      <c r="AP46" s="263">
        <f t="shared" ref="AP46:AQ46" si="36">SUM(AP15:AP45)</f>
        <v>159.07762997019742</v>
      </c>
      <c r="AQ46" s="263">
        <f t="shared" si="36"/>
        <v>2418.772413001871</v>
      </c>
      <c r="AR46" s="263">
        <f>SUM(AR15:AR45)</f>
        <v>2672.0575869981285</v>
      </c>
    </row>
    <row r="47" spans="1:44" s="150" customFormat="1" x14ac:dyDescent="0.2">
      <c r="A47" s="156" t="s">
        <v>460</v>
      </c>
      <c r="B47" s="132"/>
      <c r="C47" s="132"/>
      <c r="D47" s="133"/>
      <c r="E47" s="133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4"/>
      <c r="S47" s="134"/>
      <c r="T47" s="135"/>
      <c r="U47" s="135"/>
      <c r="V47" s="135"/>
      <c r="W47" s="135"/>
      <c r="Y47"/>
      <c r="Z47"/>
      <c r="AA47" s="121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 s="113"/>
    </row>
    <row r="48" spans="1:44" s="150" customFormat="1" x14ac:dyDescent="0.2">
      <c r="A48" s="310" t="s">
        <v>719</v>
      </c>
      <c r="B48" s="311"/>
      <c r="C48" s="311"/>
      <c r="D48" s="312"/>
      <c r="E48" s="312"/>
      <c r="F48"/>
      <c r="G48"/>
      <c r="H48"/>
      <c r="I48"/>
      <c r="J48"/>
      <c r="K48"/>
      <c r="L48"/>
      <c r="M48"/>
      <c r="N48"/>
      <c r="O48"/>
      <c r="P48"/>
      <c r="Q48"/>
      <c r="R48" s="28"/>
      <c r="S48" s="28"/>
      <c r="T48" s="16"/>
      <c r="U48" s="16"/>
      <c r="V48" s="16"/>
      <c r="W48" s="16"/>
      <c r="Y48"/>
      <c r="Z48"/>
      <c r="AA48" s="121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R48" s="113"/>
    </row>
    <row r="49" spans="1:44" ht="30.75" hidden="1" customHeight="1" x14ac:dyDescent="0.2">
      <c r="A49" s="568" t="s">
        <v>613</v>
      </c>
      <c r="B49" s="568"/>
      <c r="C49" s="568"/>
      <c r="D49" s="568"/>
      <c r="E49" s="568"/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568"/>
      <c r="R49" s="568"/>
      <c r="S49" s="568"/>
      <c r="T49" s="568"/>
      <c r="U49" s="568"/>
      <c r="V49" s="568"/>
      <c r="W49" s="568"/>
      <c r="X49" s="568"/>
      <c r="Y49" s="568"/>
      <c r="Z49" s="568"/>
      <c r="AA49" s="239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</row>
    <row r="50" spans="1:44" hidden="1" x14ac:dyDescent="0.2">
      <c r="A50" s="568"/>
      <c r="B50" s="568"/>
      <c r="C50" s="568"/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</row>
  </sheetData>
  <mergeCells count="25">
    <mergeCell ref="A49:Z50"/>
    <mergeCell ref="R11:R12"/>
    <mergeCell ref="S11:S12"/>
    <mergeCell ref="T11:T12"/>
    <mergeCell ref="V11:V12"/>
    <mergeCell ref="X11:X12"/>
    <mergeCell ref="Y11:Y12"/>
    <mergeCell ref="J11:J12"/>
    <mergeCell ref="K11:K12"/>
    <mergeCell ref="L11:L12"/>
    <mergeCell ref="M11:M12"/>
    <mergeCell ref="O11:O12"/>
    <mergeCell ref="Q11:Q12"/>
    <mergeCell ref="D10:P10"/>
    <mergeCell ref="R10:T10"/>
    <mergeCell ref="V10:AR10"/>
    <mergeCell ref="A11:A12"/>
    <mergeCell ref="B11:B12"/>
    <mergeCell ref="E11:E12"/>
    <mergeCell ref="F11:F12"/>
    <mergeCell ref="G11:G12"/>
    <mergeCell ref="H11:H12"/>
    <mergeCell ref="I11:I12"/>
    <mergeCell ref="AC11:AC12"/>
    <mergeCell ref="AD11:AD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34"/>
  <sheetViews>
    <sheetView topLeftCell="K4" zoomScale="110" zoomScaleNormal="110" workbookViewId="0">
      <selection activeCell="S26" sqref="S26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2" width="8.42578125" style="16" customWidth="1"/>
    <col min="23" max="23" width="8.42578125" style="16" hidden="1" customWidth="1"/>
    <col min="24" max="24" width="10.140625" style="150" customWidth="1"/>
    <col min="25" max="25" width="8.7109375" hidden="1" customWidth="1"/>
    <col min="26" max="26" width="8.7109375" customWidth="1"/>
    <col min="27" max="27" width="8.7109375" style="121" customWidth="1"/>
    <col min="28" max="28" width="7.42578125" customWidth="1"/>
    <col min="29" max="30" width="10.42578125" customWidth="1"/>
    <col min="31" max="35" width="7.7109375" hidden="1" customWidth="1"/>
    <col min="36" max="36" width="11.28515625" hidden="1" customWidth="1"/>
    <col min="37" max="41" width="7.7109375" hidden="1" customWidth="1"/>
    <col min="42" max="42" width="7.7109375" customWidth="1"/>
    <col min="43" max="43" width="9.28515625" customWidth="1"/>
    <col min="44" max="44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47"/>
      <c r="Y1" s="139"/>
      <c r="Z1" s="139"/>
      <c r="AA1" s="140"/>
      <c r="AB1" s="139"/>
      <c r="AC1" s="139"/>
      <c r="AD1" s="139"/>
      <c r="AE1" s="139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9" t="s">
        <v>454</v>
      </c>
      <c r="AQ1" s="137"/>
      <c r="AR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47"/>
      <c r="Y2" s="139"/>
      <c r="Z2" s="139"/>
      <c r="AA2" s="140"/>
      <c r="AB2" s="139"/>
      <c r="AC2" s="139"/>
      <c r="AD2" s="139"/>
      <c r="AE2" s="139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8"/>
      <c r="Y3" s="139"/>
      <c r="Z3" s="139"/>
      <c r="AA3" s="140"/>
      <c r="AB3" s="139"/>
      <c r="AC3" s="139"/>
      <c r="AD3" s="139"/>
      <c r="AE3" s="139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8"/>
      <c r="Y4" s="139"/>
      <c r="Z4" s="139"/>
      <c r="AA4" s="140"/>
      <c r="AB4" s="139"/>
      <c r="AC4" s="139"/>
      <c r="AD4" s="139"/>
      <c r="AE4" s="139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41"/>
    </row>
    <row r="5" spans="1:45" x14ac:dyDescent="0.2">
      <c r="A5" s="137"/>
      <c r="B5" s="144" t="s">
        <v>491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47"/>
      <c r="Y5" s="139"/>
      <c r="Z5" s="139"/>
      <c r="AA5" s="140"/>
      <c r="AB5" s="139"/>
      <c r="AC5" s="139"/>
      <c r="AD5" s="139"/>
      <c r="AE5" s="139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47"/>
      <c r="Y6" s="139"/>
      <c r="Z6" s="139"/>
      <c r="AA6" s="140"/>
      <c r="AB6" s="139"/>
      <c r="AC6" s="139"/>
      <c r="AD6" s="139"/>
      <c r="AE6" s="139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47"/>
      <c r="Y7" s="139"/>
      <c r="Z7" s="139"/>
      <c r="AA7" s="140"/>
      <c r="AB7" s="139"/>
      <c r="AC7" s="139"/>
      <c r="AD7" s="139"/>
      <c r="AE7" s="139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149"/>
      <c r="Y8" s="81"/>
      <c r="Z8" s="81"/>
      <c r="AA8" s="120"/>
      <c r="AB8" s="81"/>
      <c r="AC8" s="81"/>
      <c r="AD8" s="81"/>
      <c r="AE8" s="81"/>
      <c r="AR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149"/>
      <c r="Y9" s="81"/>
      <c r="Z9" s="81"/>
      <c r="AA9" s="120"/>
      <c r="AB9" s="81"/>
      <c r="AC9" s="81"/>
      <c r="AD9" s="81"/>
      <c r="AE9" s="81"/>
      <c r="AR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281"/>
      <c r="V10" s="551" t="s">
        <v>600</v>
      </c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</row>
    <row r="11" spans="1:45" ht="54" customHeight="1" x14ac:dyDescent="0.25">
      <c r="A11" s="552" t="s">
        <v>60</v>
      </c>
      <c r="B11" s="552" t="s">
        <v>0</v>
      </c>
      <c r="C11" s="282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9" t="s">
        <v>680</v>
      </c>
      <c r="O11" s="556" t="s">
        <v>643</v>
      </c>
      <c r="P11" s="28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275"/>
      <c r="V11" s="558" t="s">
        <v>597</v>
      </c>
      <c r="W11" s="277"/>
      <c r="X11" s="570" t="s">
        <v>720</v>
      </c>
      <c r="Y11" s="558" t="s">
        <v>589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5" ht="32.25" customHeight="1" x14ac:dyDescent="0.25">
      <c r="A12" s="553"/>
      <c r="B12" s="553"/>
      <c r="C12" s="229" t="s">
        <v>725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276"/>
      <c r="V12" s="569"/>
      <c r="W12" s="278" t="s">
        <v>721</v>
      </c>
      <c r="X12" s="571">
        <v>41639</v>
      </c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5" s="22" customFormat="1" x14ac:dyDescent="0.2">
      <c r="A13" s="41" t="s">
        <v>68</v>
      </c>
      <c r="B13" s="41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54"/>
      <c r="Y13" s="110"/>
      <c r="Z13" s="110"/>
      <c r="AA13" s="126"/>
      <c r="AB13" s="110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17"/>
    </row>
    <row r="14" spans="1:45" s="22" customFormat="1" x14ac:dyDescent="0.2">
      <c r="A14" s="41" t="s">
        <v>69</v>
      </c>
      <c r="B14" s="54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54"/>
      <c r="Y14" s="110"/>
      <c r="Z14" s="110"/>
      <c r="AA14" s="158"/>
      <c r="AB14" s="110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17"/>
    </row>
    <row r="15" spans="1:45" s="22" customFormat="1" x14ac:dyDescent="0.2">
      <c r="A15" s="29" t="s">
        <v>201</v>
      </c>
      <c r="B15" s="13" t="s">
        <v>57</v>
      </c>
      <c r="C15" s="87" t="s">
        <v>491</v>
      </c>
      <c r="D15" s="101">
        <v>3</v>
      </c>
      <c r="E15" s="48">
        <v>0.33329999999999999</v>
      </c>
      <c r="F15" s="88">
        <v>42185</v>
      </c>
      <c r="G15" s="101">
        <v>36</v>
      </c>
      <c r="H15" s="201">
        <f>100/G15</f>
        <v>2.7777777777777777</v>
      </c>
      <c r="I15" s="233">
        <f>H15*J15</f>
        <v>86.111111111111114</v>
      </c>
      <c r="J15" s="90">
        <f>(YEAR(F15)-YEAR(S15))*12+MONTH(F15)-MONTH(S15)</f>
        <v>31</v>
      </c>
      <c r="K15" s="233">
        <f>L15*H15</f>
        <v>13.888888888888889</v>
      </c>
      <c r="L15" s="90">
        <f>G15-J15</f>
        <v>5</v>
      </c>
      <c r="M15" s="233">
        <f>N15*H15</f>
        <v>19.444444444444443</v>
      </c>
      <c r="N15" s="90">
        <v>7</v>
      </c>
      <c r="O15" s="233">
        <f>P15*H15</f>
        <v>-5.5555555555555554</v>
      </c>
      <c r="P15" s="90">
        <f t="shared" ref="P15" si="0">L15-N15</f>
        <v>-2</v>
      </c>
      <c r="Q15" s="88">
        <v>42428</v>
      </c>
      <c r="R15" s="88" t="s">
        <v>595</v>
      </c>
      <c r="S15" s="52">
        <v>41214</v>
      </c>
      <c r="T15" s="9">
        <v>799</v>
      </c>
      <c r="U15" s="209"/>
      <c r="V15" s="89">
        <v>133.26</v>
      </c>
      <c r="W15" s="89">
        <v>22.19</v>
      </c>
      <c r="X15" s="152">
        <f>W15*5</f>
        <v>110.95</v>
      </c>
      <c r="Y15" s="233">
        <v>0</v>
      </c>
      <c r="Z15" s="100">
        <v>115.958</v>
      </c>
      <c r="AA15" s="125">
        <v>107</v>
      </c>
      <c r="AB15" s="100">
        <f>Z15/AA15</f>
        <v>1.0837196261682243</v>
      </c>
      <c r="AC15" s="98">
        <f>V15*M15/100/K15*100/7</f>
        <v>26.651999999999994</v>
      </c>
      <c r="AD15" s="98">
        <f>AC15*AB15</f>
        <v>28.883295476635507</v>
      </c>
      <c r="AE15" s="98"/>
      <c r="AF15" s="98"/>
      <c r="AG15" s="98"/>
      <c r="AH15" s="98"/>
      <c r="AI15" s="98"/>
      <c r="AJ15" s="98">
        <f>AD15</f>
        <v>28.883295476635507</v>
      </c>
      <c r="AK15" s="98">
        <v>28.883295476635507</v>
      </c>
      <c r="AL15" s="98">
        <v>28.883295476635507</v>
      </c>
      <c r="AM15" s="98">
        <v>28.883295476635507</v>
      </c>
      <c r="AN15" s="98">
        <v>16.73</v>
      </c>
      <c r="AO15" s="98">
        <v>0</v>
      </c>
      <c r="AP15" s="98">
        <v>0</v>
      </c>
      <c r="AQ15" s="98">
        <f>SUM(AE15:AP15)</f>
        <v>132.26318190654203</v>
      </c>
      <c r="AR15" s="116">
        <f>V15-AQ15</f>
        <v>0.99681809345796069</v>
      </c>
      <c r="AS15" s="168"/>
    </row>
    <row r="16" spans="1:45" s="22" customFormat="1" x14ac:dyDescent="0.2">
      <c r="A16" s="29" t="s">
        <v>201</v>
      </c>
      <c r="B16" s="13" t="s">
        <v>202</v>
      </c>
      <c r="C16" s="87" t="s">
        <v>491</v>
      </c>
      <c r="D16" s="101">
        <v>3</v>
      </c>
      <c r="E16" s="48">
        <v>0.33329999999999999</v>
      </c>
      <c r="F16" s="88">
        <v>42185</v>
      </c>
      <c r="G16" s="101">
        <v>36</v>
      </c>
      <c r="H16" s="201">
        <f>100/G16</f>
        <v>2.7777777777777777</v>
      </c>
      <c r="I16" s="233">
        <f>H16*J16</f>
        <v>86.111111111111114</v>
      </c>
      <c r="J16" s="90">
        <f>(YEAR(F16)-YEAR(S16))*12+MONTH(F16)-MONTH(S16)</f>
        <v>31</v>
      </c>
      <c r="K16" s="233">
        <f>L16*H16</f>
        <v>13.888888888888889</v>
      </c>
      <c r="L16" s="90">
        <f>G16-J16</f>
        <v>5</v>
      </c>
      <c r="M16" s="233">
        <f>N16*H16</f>
        <v>19.444444444444443</v>
      </c>
      <c r="N16" s="90">
        <v>7</v>
      </c>
      <c r="O16" s="233">
        <f>P16*H16</f>
        <v>-5.5555555555555554</v>
      </c>
      <c r="P16" s="90">
        <f t="shared" ref="P16" si="1">L16-N16</f>
        <v>-2</v>
      </c>
      <c r="Q16" s="88">
        <v>42428</v>
      </c>
      <c r="R16" s="88" t="s">
        <v>595</v>
      </c>
      <c r="S16" s="52">
        <v>41214</v>
      </c>
      <c r="T16" s="9">
        <v>105</v>
      </c>
      <c r="U16" s="209"/>
      <c r="V16" s="89">
        <v>17.47</v>
      </c>
      <c r="W16" s="89">
        <v>2.92</v>
      </c>
      <c r="X16" s="152">
        <f>W16*5</f>
        <v>14.6</v>
      </c>
      <c r="Y16" s="233">
        <v>0</v>
      </c>
      <c r="Z16" s="100">
        <v>115.958</v>
      </c>
      <c r="AA16" s="125">
        <v>107</v>
      </c>
      <c r="AB16" s="100">
        <f>Z16/AA16</f>
        <v>1.0837196261682243</v>
      </c>
      <c r="AC16" s="98">
        <f>V16*M16/100/K16*100/7</f>
        <v>3.4939999999999993</v>
      </c>
      <c r="AD16" s="98">
        <f>AC16*AB16</f>
        <v>3.7865163738317746</v>
      </c>
      <c r="AE16" s="98"/>
      <c r="AF16" s="98"/>
      <c r="AG16" s="98"/>
      <c r="AH16" s="98"/>
      <c r="AI16" s="98"/>
      <c r="AJ16" s="98">
        <f>AD16</f>
        <v>3.7865163738317746</v>
      </c>
      <c r="AK16" s="98">
        <v>3.7865163738317746</v>
      </c>
      <c r="AL16" s="98">
        <v>3.7865163738317746</v>
      </c>
      <c r="AM16" s="98">
        <v>3.7865163738317746</v>
      </c>
      <c r="AN16" s="98">
        <v>1.32</v>
      </c>
      <c r="AO16" s="98">
        <v>0</v>
      </c>
      <c r="AP16" s="98">
        <v>0</v>
      </c>
      <c r="AQ16" s="98">
        <f>SUM(AE16:AP16)</f>
        <v>16.466065495327097</v>
      </c>
      <c r="AR16" s="116">
        <f>V16-AQ16</f>
        <v>1.0039345046729018</v>
      </c>
      <c r="AS16" s="168"/>
    </row>
    <row r="17" spans="1:44" s="22" customFormat="1" x14ac:dyDescent="0.2">
      <c r="A17" s="41" t="s">
        <v>68</v>
      </c>
      <c r="B17" s="41" t="s">
        <v>94</v>
      </c>
      <c r="C17" s="87"/>
      <c r="D17" s="101"/>
      <c r="E17" s="48"/>
      <c r="F17" s="88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1"/>
      <c r="S17" s="52"/>
      <c r="T17" s="9"/>
      <c r="U17" s="209"/>
      <c r="V17" s="89"/>
      <c r="W17" s="89"/>
      <c r="X17" s="152"/>
      <c r="Y17" s="110"/>
      <c r="Z17" s="100"/>
      <c r="AA17" s="125"/>
      <c r="AB17" s="100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116"/>
    </row>
    <row r="18" spans="1:44" s="22" customFormat="1" x14ac:dyDescent="0.2">
      <c r="A18" s="41" t="s">
        <v>86</v>
      </c>
      <c r="B18" s="13"/>
      <c r="C18" s="87"/>
      <c r="D18" s="101"/>
      <c r="E18" s="48"/>
      <c r="F18" s="88"/>
      <c r="G18" s="101"/>
      <c r="H18" s="201"/>
      <c r="I18" s="233"/>
      <c r="J18" s="90"/>
      <c r="K18" s="233"/>
      <c r="L18" s="90"/>
      <c r="M18" s="233"/>
      <c r="N18" s="90"/>
      <c r="O18" s="233"/>
      <c r="P18" s="90"/>
      <c r="Q18" s="90"/>
      <c r="R18" s="88"/>
      <c r="S18" s="52"/>
      <c r="T18" s="9"/>
      <c r="U18" s="209"/>
      <c r="V18" s="89"/>
      <c r="W18" s="89"/>
      <c r="X18" s="152"/>
      <c r="Y18" s="233"/>
      <c r="Z18" s="100"/>
      <c r="AA18" s="125"/>
      <c r="AB18" s="100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116"/>
    </row>
    <row r="19" spans="1:44" s="22" customFormat="1" x14ac:dyDescent="0.2">
      <c r="A19" s="29" t="s">
        <v>204</v>
      </c>
      <c r="B19" s="13" t="s">
        <v>205</v>
      </c>
      <c r="C19" s="87" t="s">
        <v>491</v>
      </c>
      <c r="D19" s="101">
        <v>10</v>
      </c>
      <c r="E19" s="38">
        <v>0.1</v>
      </c>
      <c r="F19" s="88">
        <v>42185</v>
      </c>
      <c r="G19" s="101">
        <v>120</v>
      </c>
      <c r="H19" s="201">
        <f>100/G19</f>
        <v>0.83333333333333337</v>
      </c>
      <c r="I19" s="233">
        <f t="shared" ref="I19" si="2">H19*J19</f>
        <v>25.833333333333336</v>
      </c>
      <c r="J19" s="90">
        <f>(YEAR(F19)-YEAR(S19))*12+MONTH(F19)-MONTH(S19)</f>
        <v>31</v>
      </c>
      <c r="K19" s="233">
        <f>L19*H19</f>
        <v>74.166666666666671</v>
      </c>
      <c r="L19" s="90">
        <f>G19-J19</f>
        <v>89</v>
      </c>
      <c r="M19" s="233">
        <f>N19*H19</f>
        <v>5.8333333333333339</v>
      </c>
      <c r="N19" s="90">
        <v>7</v>
      </c>
      <c r="O19" s="233">
        <f t="shared" ref="O19" si="3">K19-M19</f>
        <v>68.333333333333343</v>
      </c>
      <c r="P19" s="90">
        <f t="shared" ref="P19" si="4">L19-N19</f>
        <v>82</v>
      </c>
      <c r="Q19" s="90"/>
      <c r="R19" s="88" t="s">
        <v>595</v>
      </c>
      <c r="S19" s="52">
        <v>41235</v>
      </c>
      <c r="T19" s="9">
        <v>2199</v>
      </c>
      <c r="U19" s="209"/>
      <c r="V19" s="89">
        <v>1649.2</v>
      </c>
      <c r="W19" s="89">
        <v>18.329999999999998</v>
      </c>
      <c r="X19" s="152">
        <f>W19*5</f>
        <v>91.649999999999991</v>
      </c>
      <c r="Y19" s="233">
        <v>0</v>
      </c>
      <c r="Z19" s="100">
        <v>115.958</v>
      </c>
      <c r="AA19" s="125">
        <v>107</v>
      </c>
      <c r="AB19" s="100">
        <f>Z19/AA19</f>
        <v>1.0837196261682243</v>
      </c>
      <c r="AC19" s="98">
        <f>V19*M19/100/K19*100/7</f>
        <v>18.530337078651684</v>
      </c>
      <c r="AD19" s="98">
        <f>AC19*AB19</f>
        <v>20.081689971647588</v>
      </c>
      <c r="AE19" s="98"/>
      <c r="AF19" s="98"/>
      <c r="AG19" s="98"/>
      <c r="AH19" s="98"/>
      <c r="AI19" s="98"/>
      <c r="AJ19" s="98">
        <f>AD19</f>
        <v>20.081689971647588</v>
      </c>
      <c r="AK19" s="98">
        <v>20.081689971647588</v>
      </c>
      <c r="AL19" s="98">
        <v>20.081689971647588</v>
      </c>
      <c r="AM19" s="98">
        <v>20.081689971647588</v>
      </c>
      <c r="AN19" s="98">
        <v>20.081689971647588</v>
      </c>
      <c r="AO19" s="98">
        <v>20.081689971647588</v>
      </c>
      <c r="AP19" s="98">
        <v>20.081689971647588</v>
      </c>
      <c r="AQ19" s="98">
        <f t="shared" ref="AQ19" si="5">SUM(AE19:AP19)</f>
        <v>140.57182980153311</v>
      </c>
      <c r="AR19" s="116">
        <f>V19-AQ19</f>
        <v>1508.6281701984669</v>
      </c>
    </row>
    <row r="20" spans="1:44" s="22" customFormat="1" x14ac:dyDescent="0.2">
      <c r="A20" s="41" t="s">
        <v>68</v>
      </c>
      <c r="B20" s="41" t="s">
        <v>92</v>
      </c>
      <c r="C20" s="87"/>
      <c r="D20" s="101"/>
      <c r="E20" s="48"/>
      <c r="F20" s="88"/>
      <c r="G20" s="101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88"/>
      <c r="S20" s="52"/>
      <c r="T20" s="9"/>
      <c r="U20" s="211"/>
      <c r="V20" s="89"/>
      <c r="W20" s="89"/>
      <c r="X20" s="152"/>
      <c r="Y20" s="233"/>
      <c r="Z20" s="100"/>
      <c r="AA20" s="191"/>
      <c r="AB20" s="100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116"/>
    </row>
    <row r="21" spans="1:44" s="22" customFormat="1" x14ac:dyDescent="0.2">
      <c r="A21" s="41" t="s">
        <v>87</v>
      </c>
      <c r="B21" s="13"/>
      <c r="C21" s="87"/>
      <c r="D21" s="101"/>
      <c r="E21" s="48"/>
      <c r="F21" s="88"/>
      <c r="G21" s="101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88"/>
      <c r="S21" s="52"/>
      <c r="T21" s="9"/>
      <c r="U21" s="211"/>
      <c r="V21" s="89"/>
      <c r="W21" s="89"/>
      <c r="X21" s="152"/>
      <c r="Y21" s="233"/>
      <c r="Z21" s="100"/>
      <c r="AA21" s="125"/>
      <c r="AB21" s="100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116"/>
    </row>
    <row r="22" spans="1:44" s="22" customFormat="1" x14ac:dyDescent="0.2">
      <c r="A22" s="29" t="s">
        <v>206</v>
      </c>
      <c r="B22" s="13" t="s">
        <v>207</v>
      </c>
      <c r="C22" s="87" t="s">
        <v>491</v>
      </c>
      <c r="D22" s="101">
        <v>10</v>
      </c>
      <c r="E22" s="38">
        <v>0.1</v>
      </c>
      <c r="F22" s="88">
        <v>42185</v>
      </c>
      <c r="G22" s="101">
        <v>120</v>
      </c>
      <c r="H22" s="201">
        <f>100/G22</f>
        <v>0.83333333333333337</v>
      </c>
      <c r="I22" s="233">
        <f t="shared" ref="I22" si="6">H22*J22</f>
        <v>30</v>
      </c>
      <c r="J22" s="90">
        <v>36</v>
      </c>
      <c r="K22" s="233">
        <f>L22*H22</f>
        <v>70</v>
      </c>
      <c r="L22" s="90">
        <f>G22-J22</f>
        <v>84</v>
      </c>
      <c r="M22" s="233">
        <f>N22*H22</f>
        <v>5.8333333333333339</v>
      </c>
      <c r="N22" s="90">
        <v>7</v>
      </c>
      <c r="O22" s="233">
        <f>K22-M22</f>
        <v>64.166666666666671</v>
      </c>
      <c r="P22" s="90">
        <f>L22-N22</f>
        <v>77</v>
      </c>
      <c r="Q22" s="90">
        <f>M22-O22</f>
        <v>-58.333333333333336</v>
      </c>
      <c r="R22" s="88" t="s">
        <v>595</v>
      </c>
      <c r="S22" s="52">
        <v>41214</v>
      </c>
      <c r="T22" s="9">
        <v>350</v>
      </c>
      <c r="U22" s="211"/>
      <c r="V22" s="89">
        <v>262.45999999999998</v>
      </c>
      <c r="W22" s="89">
        <v>2.92</v>
      </c>
      <c r="X22" s="152">
        <f>W22*5</f>
        <v>14.6</v>
      </c>
      <c r="Y22" s="233">
        <v>0</v>
      </c>
      <c r="Z22" s="100">
        <v>115.958</v>
      </c>
      <c r="AA22" s="125">
        <v>107</v>
      </c>
      <c r="AB22" s="100">
        <f>Z22/AA22</f>
        <v>1.0837196261682243</v>
      </c>
      <c r="AC22" s="98">
        <f>V22*M22/100/K22*100/7</f>
        <v>3.1245238095238093</v>
      </c>
      <c r="AD22" s="98">
        <f>AC22*AB22</f>
        <v>3.3861077748108586</v>
      </c>
      <c r="AE22" s="98"/>
      <c r="AF22" s="98"/>
      <c r="AG22" s="98"/>
      <c r="AH22" s="98"/>
      <c r="AI22" s="98"/>
      <c r="AJ22" s="98">
        <f>AD22</f>
        <v>3.3861077748108586</v>
      </c>
      <c r="AK22" s="98">
        <v>3.3861077748108586</v>
      </c>
      <c r="AL22" s="98">
        <v>3.3861077748108586</v>
      </c>
      <c r="AM22" s="98">
        <v>3.3861077748108586</v>
      </c>
      <c r="AN22" s="98">
        <v>3.3861077748108586</v>
      </c>
      <c r="AO22" s="98">
        <v>3.3861077748108586</v>
      </c>
      <c r="AP22" s="98">
        <v>3.3861077748108586</v>
      </c>
      <c r="AQ22" s="98">
        <f t="shared" ref="AQ22" si="7">SUM(AE22:AP22)</f>
        <v>23.702754423676012</v>
      </c>
      <c r="AR22" s="116">
        <f>V22-AQ22</f>
        <v>238.75724557632395</v>
      </c>
    </row>
    <row r="23" spans="1:44" s="22" customFormat="1" x14ac:dyDescent="0.2">
      <c r="A23" s="41" t="s">
        <v>74</v>
      </c>
      <c r="B23" s="41" t="s">
        <v>89</v>
      </c>
      <c r="C23" s="87"/>
      <c r="D23" s="101"/>
      <c r="E23" s="38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9"/>
      <c r="S23" s="29"/>
      <c r="T23" s="9"/>
      <c r="U23" s="18"/>
      <c r="V23" s="18"/>
      <c r="W23" s="18"/>
      <c r="X23" s="154"/>
      <c r="Y23" s="110"/>
      <c r="Z23" s="110"/>
      <c r="AA23" s="125"/>
      <c r="AB23" s="110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7"/>
    </row>
    <row r="24" spans="1:44" s="22" customFormat="1" x14ac:dyDescent="0.2">
      <c r="A24" s="41" t="s">
        <v>102</v>
      </c>
      <c r="B24" s="13"/>
      <c r="C24" s="87"/>
      <c r="D24" s="101"/>
      <c r="E24" s="38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9"/>
      <c r="S24" s="29"/>
      <c r="T24" s="9"/>
      <c r="U24" s="18"/>
      <c r="V24" s="18"/>
      <c r="W24" s="18"/>
      <c r="X24" s="154"/>
      <c r="Y24" s="110"/>
      <c r="Z24" s="110"/>
      <c r="AA24" s="125"/>
      <c r="AB24" s="110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17"/>
    </row>
    <row r="25" spans="1:44" s="22" customFormat="1" x14ac:dyDescent="0.2">
      <c r="A25" s="29" t="s">
        <v>208</v>
      </c>
      <c r="B25" s="13" t="s">
        <v>171</v>
      </c>
      <c r="C25" s="87" t="s">
        <v>491</v>
      </c>
      <c r="D25" s="101">
        <v>10</v>
      </c>
      <c r="E25" s="38">
        <v>0.1</v>
      </c>
      <c r="F25" s="88">
        <v>42185</v>
      </c>
      <c r="G25" s="101">
        <v>120</v>
      </c>
      <c r="H25" s="201">
        <f>100/G25</f>
        <v>0.83333333333333337</v>
      </c>
      <c r="I25" s="233">
        <f>H25*J25</f>
        <v>25.833333333333336</v>
      </c>
      <c r="J25" s="90">
        <f>(YEAR(F25)-YEAR(S25))*12+MONTH(F25)-MONTH(S25)</f>
        <v>31</v>
      </c>
      <c r="K25" s="233">
        <f>L25*H25</f>
        <v>74.166666666666671</v>
      </c>
      <c r="L25" s="90">
        <f>G25-J25</f>
        <v>89</v>
      </c>
      <c r="M25" s="233">
        <f>N25*H25</f>
        <v>5.8333333333333339</v>
      </c>
      <c r="N25" s="90">
        <v>7</v>
      </c>
      <c r="O25" s="233">
        <f>P25*H25</f>
        <v>68.333333333333343</v>
      </c>
      <c r="P25" s="90">
        <f t="shared" ref="O25:P28" si="8">L25-N25</f>
        <v>82</v>
      </c>
      <c r="Q25" s="88">
        <v>42428</v>
      </c>
      <c r="R25" s="88" t="s">
        <v>595</v>
      </c>
      <c r="S25" s="29">
        <v>41214</v>
      </c>
      <c r="T25" s="9">
        <v>2790</v>
      </c>
      <c r="U25" s="209"/>
      <c r="V25" s="89">
        <v>2092.5</v>
      </c>
      <c r="W25" s="89">
        <v>23.25</v>
      </c>
      <c r="X25" s="152">
        <f>W25*5</f>
        <v>116.25</v>
      </c>
      <c r="Y25" s="233">
        <v>0</v>
      </c>
      <c r="Z25" s="100">
        <v>115.958</v>
      </c>
      <c r="AA25" s="125">
        <v>107</v>
      </c>
      <c r="AB25" s="100">
        <f>Z25/AA25</f>
        <v>1.0837196261682243</v>
      </c>
      <c r="AC25" s="98">
        <f>V25*M25/100/K25*100/7</f>
        <v>23.511235955056183</v>
      </c>
      <c r="AD25" s="98">
        <f>AC25*AB25</f>
        <v>25.479587839966399</v>
      </c>
      <c r="AE25" s="98"/>
      <c r="AF25" s="98"/>
      <c r="AG25" s="98"/>
      <c r="AH25" s="98"/>
      <c r="AI25" s="98"/>
      <c r="AJ25" s="98">
        <f>AD25</f>
        <v>25.479587839966399</v>
      </c>
      <c r="AK25" s="98">
        <v>25.479587839966399</v>
      </c>
      <c r="AL25" s="98">
        <v>25.479587839966399</v>
      </c>
      <c r="AM25" s="98">
        <v>25.479587839966399</v>
      </c>
      <c r="AN25" s="98">
        <v>25.479587839966399</v>
      </c>
      <c r="AO25" s="98">
        <v>25.479587839966399</v>
      </c>
      <c r="AP25" s="98">
        <v>25.479587839966399</v>
      </c>
      <c r="AQ25" s="98">
        <f t="shared" ref="AQ25" si="9">SUM(AE25:AP25)</f>
        <v>178.35711487976479</v>
      </c>
      <c r="AR25" s="116">
        <f>V25-AQ25</f>
        <v>1914.1428851202352</v>
      </c>
    </row>
    <row r="26" spans="1:44" s="22" customFormat="1" x14ac:dyDescent="0.2">
      <c r="A26" s="41" t="s">
        <v>131</v>
      </c>
      <c r="B26" s="41" t="s">
        <v>210</v>
      </c>
      <c r="C26" s="87"/>
      <c r="D26" s="101"/>
      <c r="E26" s="38"/>
      <c r="F26" s="88"/>
      <c r="G26" s="101"/>
      <c r="H26" s="201"/>
      <c r="I26" s="233"/>
      <c r="J26" s="90"/>
      <c r="K26" s="233"/>
      <c r="L26" s="90"/>
      <c r="M26" s="233"/>
      <c r="N26" s="90"/>
      <c r="O26" s="233"/>
      <c r="P26" s="90"/>
      <c r="Q26" s="90"/>
      <c r="R26" s="171"/>
      <c r="S26" s="29"/>
      <c r="T26" s="9"/>
      <c r="U26" s="209"/>
      <c r="V26" s="89"/>
      <c r="W26" s="89"/>
      <c r="X26" s="152"/>
      <c r="Y26" s="110"/>
      <c r="Z26" s="100"/>
      <c r="AA26" s="192"/>
      <c r="AB26" s="100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116"/>
    </row>
    <row r="27" spans="1:44" s="22" customFormat="1" x14ac:dyDescent="0.2">
      <c r="A27" s="41" t="s">
        <v>209</v>
      </c>
      <c r="B27" s="13"/>
      <c r="C27" s="87"/>
      <c r="D27" s="101"/>
      <c r="E27" s="38"/>
      <c r="F27" s="88"/>
      <c r="G27" s="101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1"/>
      <c r="S27" s="29"/>
      <c r="T27" s="9"/>
      <c r="U27" s="209"/>
      <c r="V27" s="89"/>
      <c r="W27" s="89"/>
      <c r="X27" s="152"/>
      <c r="Y27" s="110"/>
      <c r="Z27" s="100"/>
      <c r="AA27" s="125"/>
      <c r="AB27" s="100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116"/>
    </row>
    <row r="28" spans="1:44" s="22" customFormat="1" x14ac:dyDescent="0.2">
      <c r="A28" s="29" t="s">
        <v>211</v>
      </c>
      <c r="B28" s="145" t="s">
        <v>492</v>
      </c>
      <c r="C28" s="87" t="s">
        <v>491</v>
      </c>
      <c r="D28" s="101">
        <v>10</v>
      </c>
      <c r="E28" s="38">
        <v>0.1</v>
      </c>
      <c r="F28" s="88">
        <v>42185</v>
      </c>
      <c r="G28" s="101">
        <v>120</v>
      </c>
      <c r="H28" s="201">
        <f>100/G28</f>
        <v>0.83333333333333337</v>
      </c>
      <c r="I28" s="233">
        <f t="shared" ref="I28" si="10">H28*J28</f>
        <v>13.333333333333334</v>
      </c>
      <c r="J28" s="90">
        <f>(YEAR(F28)-YEAR(S28))*12+MONTH(F28)-MONTH(S28)</f>
        <v>16</v>
      </c>
      <c r="K28" s="233">
        <f>L28*H28</f>
        <v>86.666666666666671</v>
      </c>
      <c r="L28" s="90">
        <f>G28-J28</f>
        <v>104</v>
      </c>
      <c r="M28" s="233">
        <f>N28*H28</f>
        <v>5.8333333333333339</v>
      </c>
      <c r="N28" s="90">
        <v>7</v>
      </c>
      <c r="O28" s="233">
        <f t="shared" si="8"/>
        <v>80.833333333333343</v>
      </c>
      <c r="P28" s="90">
        <f t="shared" si="8"/>
        <v>97</v>
      </c>
      <c r="Q28" s="90"/>
      <c r="R28" s="88" t="s">
        <v>726</v>
      </c>
      <c r="S28" s="29">
        <v>41683</v>
      </c>
      <c r="T28" s="9">
        <v>3385</v>
      </c>
      <c r="U28" s="209"/>
      <c r="V28" s="89">
        <v>2905.44</v>
      </c>
      <c r="W28" s="89">
        <v>28.21</v>
      </c>
      <c r="X28" s="152">
        <f>W28*5</f>
        <v>141.05000000000001</v>
      </c>
      <c r="Y28" s="233">
        <v>0</v>
      </c>
      <c r="Z28" s="100">
        <v>115.958</v>
      </c>
      <c r="AA28" s="125">
        <v>112.79</v>
      </c>
      <c r="AB28" s="100">
        <f>Z28/AA28</f>
        <v>1.0280875964181222</v>
      </c>
      <c r="AC28" s="98">
        <f>V28*M28/100/K28*100/7</f>
        <v>27.93692307692308</v>
      </c>
      <c r="AD28" s="98">
        <f>AC28*AB28</f>
        <v>28.721604097471818</v>
      </c>
      <c r="AE28" s="98"/>
      <c r="AF28" s="98"/>
      <c r="AG28" s="98"/>
      <c r="AH28" s="98"/>
      <c r="AI28" s="98"/>
      <c r="AJ28" s="98">
        <f>AD28</f>
        <v>28.721604097471818</v>
      </c>
      <c r="AK28" s="98">
        <v>28.721604097471818</v>
      </c>
      <c r="AL28" s="98">
        <v>28.721604097471818</v>
      </c>
      <c r="AM28" s="98">
        <v>28.721604097471818</v>
      </c>
      <c r="AN28" s="98">
        <v>28.721604097471818</v>
      </c>
      <c r="AO28" s="98">
        <v>28.721604097471818</v>
      </c>
      <c r="AP28" s="98">
        <v>28.721604097471818</v>
      </c>
      <c r="AQ28" s="98">
        <f t="shared" ref="AQ28" si="11">SUM(AE28:AP28)</f>
        <v>201.05122868230271</v>
      </c>
      <c r="AR28" s="116">
        <f>V28-AQ28</f>
        <v>2704.3887713176973</v>
      </c>
    </row>
    <row r="29" spans="1:44" x14ac:dyDescent="0.2">
      <c r="R29" s="243"/>
      <c r="X29" s="149"/>
      <c r="AC29" s="263"/>
      <c r="AD29" s="263"/>
      <c r="AE29" s="263">
        <f>SUM(AE25:AE28)</f>
        <v>0</v>
      </c>
      <c r="AF29" s="263">
        <f>SUM(AF25:AF28)</f>
        <v>0</v>
      </c>
      <c r="AG29" s="263">
        <f>SUM(AG25:AG28)</f>
        <v>0</v>
      </c>
      <c r="AH29" s="263">
        <f>SUM(AH25:AH28)</f>
        <v>0</v>
      </c>
      <c r="AI29" s="263">
        <f>SUM(AI25:AI28)</f>
        <v>0</v>
      </c>
      <c r="AJ29" s="263">
        <f>SUM(AJ15:AJ28)</f>
        <v>110.33880153436394</v>
      </c>
      <c r="AK29" s="263"/>
      <c r="AL29" s="263"/>
      <c r="AM29" s="263"/>
      <c r="AN29" s="263"/>
      <c r="AO29" s="263"/>
      <c r="AP29" s="263">
        <f t="shared" ref="AP29:AQ29" si="12">SUM(AP15:AP28)</f>
        <v>77.668989683896655</v>
      </c>
      <c r="AQ29" s="263">
        <f t="shared" si="12"/>
        <v>692.41217518914573</v>
      </c>
      <c r="AR29" s="263">
        <f>SUM(AR15:AR28)</f>
        <v>6367.9178248108547</v>
      </c>
    </row>
    <row r="30" spans="1:44" s="150" customFormat="1" x14ac:dyDescent="0.2">
      <c r="A30" s="156" t="s">
        <v>460</v>
      </c>
      <c r="B30" s="132"/>
      <c r="C30" s="132"/>
      <c r="D30" s="133"/>
      <c r="E30" s="133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4"/>
      <c r="S30" s="134"/>
      <c r="T30" s="135"/>
      <c r="U30" s="135"/>
      <c r="V30" s="135"/>
      <c r="W30" s="135"/>
      <c r="Y30"/>
      <c r="Z30"/>
      <c r="AA30" s="121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 s="113"/>
    </row>
    <row r="31" spans="1:44" s="150" customFormat="1" x14ac:dyDescent="0.2">
      <c r="A31" s="310" t="s">
        <v>719</v>
      </c>
      <c r="B31" s="311"/>
      <c r="C31" s="311"/>
      <c r="D31" s="312"/>
      <c r="E31" s="312"/>
      <c r="F31"/>
      <c r="G31"/>
      <c r="H31"/>
      <c r="I31"/>
      <c r="J31"/>
      <c r="K31"/>
      <c r="L31"/>
      <c r="M31"/>
      <c r="N31"/>
      <c r="O31"/>
      <c r="P31"/>
      <c r="Q31"/>
      <c r="R31" s="28"/>
      <c r="S31" s="28"/>
      <c r="T31" s="16"/>
      <c r="U31" s="16"/>
      <c r="V31" s="16"/>
      <c r="W31" s="16"/>
      <c r="Y31"/>
      <c r="Z31"/>
      <c r="AA31" s="12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 s="113"/>
    </row>
    <row r="32" spans="1:44" ht="30.75" hidden="1" customHeight="1" x14ac:dyDescent="0.2">
      <c r="A32" s="568" t="s">
        <v>613</v>
      </c>
      <c r="B32" s="568"/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239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</row>
    <row r="33" spans="1:43" hidden="1" x14ac:dyDescent="0.2">
      <c r="A33" s="568"/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  <c r="Y33" s="568"/>
      <c r="Z33" s="568"/>
    </row>
    <row r="34" spans="1:43" x14ac:dyDescent="0.2">
      <c r="AQ34" s="150"/>
    </row>
  </sheetData>
  <mergeCells count="25">
    <mergeCell ref="A32:Z33"/>
    <mergeCell ref="R11:R12"/>
    <mergeCell ref="S11:S12"/>
    <mergeCell ref="T11:T12"/>
    <mergeCell ref="V11:V12"/>
    <mergeCell ref="X11:X12"/>
    <mergeCell ref="Y11:Y12"/>
    <mergeCell ref="J11:J12"/>
    <mergeCell ref="K11:K12"/>
    <mergeCell ref="L11:L12"/>
    <mergeCell ref="M11:M12"/>
    <mergeCell ref="O11:O12"/>
    <mergeCell ref="Q11:Q12"/>
    <mergeCell ref="D10:P10"/>
    <mergeCell ref="R10:T10"/>
    <mergeCell ref="V10:AR10"/>
    <mergeCell ref="A11:A12"/>
    <mergeCell ref="B11:B12"/>
    <mergeCell ref="E11:E12"/>
    <mergeCell ref="F11:F12"/>
    <mergeCell ref="G11:G12"/>
    <mergeCell ref="H11:H12"/>
    <mergeCell ref="I11:I12"/>
    <mergeCell ref="AC11:AC12"/>
    <mergeCell ref="AD11:AD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42"/>
  <sheetViews>
    <sheetView topLeftCell="H1" zoomScale="115" zoomScaleNormal="115" workbookViewId="0">
      <pane ySplit="2100" topLeftCell="A16" activePane="bottomLeft"/>
      <selection activeCell="AR1" sqref="AR1:AS1048576"/>
      <selection pane="bottomLeft" activeCell="V51" sqref="V51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2" width="8.42578125" style="16" customWidth="1"/>
    <col min="23" max="23" width="8.42578125" style="16" hidden="1" customWidth="1"/>
    <col min="24" max="24" width="10.140625" style="150" customWidth="1"/>
    <col min="25" max="25" width="8.7109375" customWidth="1"/>
    <col min="26" max="26" width="8.7109375" style="121" customWidth="1"/>
    <col min="27" max="27" width="7.42578125" customWidth="1"/>
    <col min="28" max="29" width="10.42578125" customWidth="1"/>
    <col min="30" max="34" width="7.7109375" hidden="1" customWidth="1"/>
    <col min="35" max="35" width="11.28515625" hidden="1" customWidth="1"/>
    <col min="36" max="37" width="7.7109375" hidden="1" customWidth="1"/>
    <col min="38" max="38" width="8.5703125" hidden="1" customWidth="1"/>
    <col min="39" max="40" width="7.7109375" hidden="1" customWidth="1"/>
    <col min="41" max="41" width="7.7109375" customWidth="1"/>
    <col min="42" max="42" width="9.28515625" customWidth="1"/>
    <col min="43" max="43" width="10" style="113" customWidth="1"/>
    <col min="44" max="45" width="11.42578125" style="22"/>
  </cols>
  <sheetData>
    <row r="1" spans="1:44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47"/>
      <c r="Y1" s="139"/>
      <c r="Z1" s="140"/>
      <c r="AA1" s="139"/>
      <c r="AB1" s="139"/>
      <c r="AC1" s="139"/>
      <c r="AD1" s="139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9"/>
      <c r="AP1" s="137"/>
      <c r="AQ1" s="141"/>
    </row>
    <row r="2" spans="1:44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47"/>
      <c r="Y2" s="139"/>
      <c r="Z2" s="140"/>
      <c r="AA2" s="139"/>
      <c r="AB2" s="139"/>
      <c r="AC2" s="139"/>
      <c r="AD2" s="139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41"/>
    </row>
    <row r="3" spans="1:44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8"/>
      <c r="Y3" s="139"/>
      <c r="Z3" s="140"/>
      <c r="AA3" s="139"/>
      <c r="AB3" s="139"/>
      <c r="AC3" s="139"/>
      <c r="AD3" s="139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41"/>
    </row>
    <row r="4" spans="1:44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8"/>
      <c r="Y4" s="139"/>
      <c r="Z4" s="140"/>
      <c r="AA4" s="139"/>
      <c r="AB4" s="139"/>
      <c r="AC4" s="139"/>
      <c r="AD4" s="139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41"/>
    </row>
    <row r="5" spans="1:44" x14ac:dyDescent="0.2">
      <c r="A5" s="137"/>
      <c r="B5" s="144" t="s">
        <v>488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47"/>
      <c r="Y5" s="139"/>
      <c r="Z5" s="140"/>
      <c r="AA5" s="139"/>
      <c r="AB5" s="139"/>
      <c r="AC5" s="139"/>
      <c r="AD5" s="139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41"/>
    </row>
    <row r="6" spans="1:44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47"/>
      <c r="Y6" s="139"/>
      <c r="Z6" s="140"/>
      <c r="AA6" s="139"/>
      <c r="AB6" s="139"/>
      <c r="AC6" s="139"/>
      <c r="AD6" s="139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41"/>
    </row>
    <row r="7" spans="1:44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47"/>
      <c r="Y7" s="139"/>
      <c r="Z7" s="140"/>
      <c r="AA7" s="139"/>
      <c r="AB7" s="139"/>
      <c r="AC7" s="139"/>
      <c r="AD7" s="139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41"/>
    </row>
    <row r="8" spans="1:44" s="22" customFormat="1" x14ac:dyDescent="0.2">
      <c r="D8" s="80"/>
      <c r="E8" s="80"/>
      <c r="R8" s="79"/>
      <c r="S8" s="79"/>
      <c r="T8" s="56"/>
      <c r="U8" s="56"/>
      <c r="V8" s="56"/>
      <c r="W8" s="56"/>
      <c r="X8" s="149"/>
      <c r="Y8" s="81"/>
      <c r="Z8" s="120"/>
      <c r="AA8" s="81"/>
      <c r="AB8" s="81"/>
      <c r="AC8" s="81"/>
      <c r="AD8" s="81"/>
      <c r="AQ8" s="112"/>
    </row>
    <row r="9" spans="1:44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149"/>
      <c r="Y9" s="81"/>
      <c r="Z9" s="120"/>
      <c r="AA9" s="81"/>
      <c r="AB9" s="81"/>
      <c r="AC9" s="81"/>
      <c r="AD9" s="81"/>
      <c r="AQ9" s="112"/>
    </row>
    <row r="10" spans="1:44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01"/>
      <c r="V10" s="551" t="s">
        <v>600</v>
      </c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</row>
    <row r="11" spans="1:44" ht="54" customHeight="1" x14ac:dyDescent="0.25">
      <c r="A11" s="552" t="s">
        <v>60</v>
      </c>
      <c r="B11" s="552" t="s">
        <v>0</v>
      </c>
      <c r="C11" s="302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03" t="s">
        <v>680</v>
      </c>
      <c r="O11" s="556" t="s">
        <v>643</v>
      </c>
      <c r="P11" s="308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05"/>
      <c r="V11" s="558" t="s">
        <v>597</v>
      </c>
      <c r="W11" s="304"/>
      <c r="X11" s="570" t="s">
        <v>720</v>
      </c>
      <c r="Y11" s="226" t="s">
        <v>16</v>
      </c>
      <c r="Z11" s="227" t="s">
        <v>16</v>
      </c>
      <c r="AA11" s="226" t="s">
        <v>17</v>
      </c>
      <c r="AB11" s="558" t="s">
        <v>678</v>
      </c>
      <c r="AC11" s="558" t="s">
        <v>687</v>
      </c>
      <c r="AD11" s="226" t="s">
        <v>3</v>
      </c>
      <c r="AE11" s="226" t="s">
        <v>4</v>
      </c>
      <c r="AF11" s="226" t="s">
        <v>5</v>
      </c>
      <c r="AG11" s="226" t="s">
        <v>6</v>
      </c>
      <c r="AH11" s="226" t="s">
        <v>7</v>
      </c>
      <c r="AI11" s="226" t="s">
        <v>8</v>
      </c>
      <c r="AJ11" s="226" t="s">
        <v>9</v>
      </c>
      <c r="AK11" s="226" t="s">
        <v>10</v>
      </c>
      <c r="AL11" s="226" t="s">
        <v>11</v>
      </c>
      <c r="AM11" s="226" t="s">
        <v>12</v>
      </c>
      <c r="AN11" s="226" t="s">
        <v>13</v>
      </c>
      <c r="AO11" s="226" t="s">
        <v>14</v>
      </c>
      <c r="AP11" s="264" t="s">
        <v>749</v>
      </c>
      <c r="AQ11" s="228" t="s">
        <v>66</v>
      </c>
    </row>
    <row r="12" spans="1:44" ht="32.25" customHeight="1" x14ac:dyDescent="0.25">
      <c r="A12" s="553"/>
      <c r="B12" s="553"/>
      <c r="C12" s="229" t="s">
        <v>722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06"/>
      <c r="V12" s="569"/>
      <c r="W12" s="307" t="s">
        <v>721</v>
      </c>
      <c r="X12" s="571">
        <v>41639</v>
      </c>
      <c r="Y12" s="230" t="s">
        <v>21</v>
      </c>
      <c r="Z12" s="231" t="s">
        <v>22</v>
      </c>
      <c r="AA12" s="230" t="s">
        <v>23</v>
      </c>
      <c r="AB12" s="559"/>
      <c r="AC12" s="559"/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 t="s">
        <v>67</v>
      </c>
    </row>
    <row r="13" spans="1:44" s="22" customFormat="1" x14ac:dyDescent="0.2">
      <c r="A13" s="41" t="s">
        <v>68</v>
      </c>
      <c r="B13" s="41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54"/>
      <c r="Y13" s="110"/>
      <c r="Z13" s="126"/>
      <c r="AA13" s="110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17"/>
    </row>
    <row r="14" spans="1:44" s="22" customFormat="1" x14ac:dyDescent="0.2">
      <c r="A14" s="41" t="s">
        <v>69</v>
      </c>
      <c r="B14" s="54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54"/>
      <c r="Y14" s="110"/>
      <c r="Z14" s="158"/>
      <c r="AA14" s="110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17"/>
    </row>
    <row r="15" spans="1:44" s="22" customFormat="1" x14ac:dyDescent="0.2">
      <c r="A15" s="29" t="s">
        <v>336</v>
      </c>
      <c r="B15" s="13" t="s">
        <v>341</v>
      </c>
      <c r="C15" s="87" t="s">
        <v>489</v>
      </c>
      <c r="D15" s="101">
        <v>3</v>
      </c>
      <c r="E15" s="48">
        <v>0.33329999999999999</v>
      </c>
      <c r="F15" s="88">
        <v>42185</v>
      </c>
      <c r="G15" s="101">
        <v>36</v>
      </c>
      <c r="H15" s="201">
        <f>100/G15</f>
        <v>2.7777777777777777</v>
      </c>
      <c r="I15" s="233">
        <f>H15*J15</f>
        <v>41.666666666666664</v>
      </c>
      <c r="J15" s="90">
        <f>(YEAR(F15)-YEAR(S15))*12+MONTH(F15)-MONTH(S15)</f>
        <v>15</v>
      </c>
      <c r="K15" s="233">
        <f>L15*H15</f>
        <v>58.333333333333329</v>
      </c>
      <c r="L15" s="90">
        <f>G15-J15</f>
        <v>21</v>
      </c>
      <c r="M15" s="233">
        <f>N15*H15</f>
        <v>19.444444444444443</v>
      </c>
      <c r="N15" s="90">
        <v>7</v>
      </c>
      <c r="O15" s="233">
        <f>P15*H15</f>
        <v>38.888888888888886</v>
      </c>
      <c r="P15" s="90">
        <f t="shared" ref="O15:P18" si="0">L15-N15</f>
        <v>14</v>
      </c>
      <c r="Q15" s="88">
        <v>42428</v>
      </c>
      <c r="R15" s="88" t="s">
        <v>723</v>
      </c>
      <c r="S15" s="52">
        <v>41702</v>
      </c>
      <c r="T15" s="174">
        <v>7801</v>
      </c>
      <c r="U15" s="209">
        <v>4117.59</v>
      </c>
      <c r="V15" s="222">
        <v>4117.59</v>
      </c>
      <c r="W15" s="98">
        <v>216.67</v>
      </c>
      <c r="X15" s="152">
        <f>W15*5</f>
        <v>1083.3499999999999</v>
      </c>
      <c r="Y15" s="100">
        <v>115.958</v>
      </c>
      <c r="Z15" s="125">
        <v>113.099</v>
      </c>
      <c r="AA15" s="100">
        <f>Y15/Z15</f>
        <v>1.0252787380967117</v>
      </c>
      <c r="AB15" s="98">
        <f>V15*M15/100/K15*100/7</f>
        <v>196.07571428571433</v>
      </c>
      <c r="AC15" s="98">
        <f>AB15*AA15</f>
        <v>201.03226091426856</v>
      </c>
      <c r="AD15" s="98"/>
      <c r="AE15" s="98"/>
      <c r="AF15" s="98"/>
      <c r="AG15" s="98"/>
      <c r="AH15" s="98"/>
      <c r="AI15" s="98">
        <f>AC15</f>
        <v>201.03226091426856</v>
      </c>
      <c r="AJ15" s="98">
        <v>201.03226091426856</v>
      </c>
      <c r="AK15" s="98">
        <v>201.03226091426856</v>
      </c>
      <c r="AL15" s="98">
        <v>201.03226091426856</v>
      </c>
      <c r="AM15" s="98">
        <v>201.03226091426856</v>
      </c>
      <c r="AN15" s="98">
        <v>201.03226091426856</v>
      </c>
      <c r="AO15" s="98">
        <v>201.03226091426856</v>
      </c>
      <c r="AP15" s="98">
        <f>SUM(AD15:AO15)+X15</f>
        <v>2490.5758263998796</v>
      </c>
      <c r="AQ15" s="116">
        <f>V15-AP15</f>
        <v>1627.0141736001206</v>
      </c>
      <c r="AR15" s="168"/>
    </row>
    <row r="16" spans="1:44" s="22" customFormat="1" x14ac:dyDescent="0.2">
      <c r="A16" s="41" t="s">
        <v>68</v>
      </c>
      <c r="B16" s="41" t="s">
        <v>168</v>
      </c>
      <c r="C16" s="87"/>
      <c r="D16" s="101"/>
      <c r="E16" s="48"/>
      <c r="F16" s="88"/>
      <c r="G16" s="101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1"/>
      <c r="S16" s="52"/>
      <c r="T16" s="174"/>
      <c r="U16" s="209"/>
      <c r="V16" s="222"/>
      <c r="W16" s="51"/>
      <c r="X16" s="152"/>
      <c r="Y16" s="100"/>
      <c r="Z16" s="191"/>
      <c r="AA16" s="100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116"/>
    </row>
    <row r="17" spans="1:45" s="22" customFormat="1" x14ac:dyDescent="0.2">
      <c r="A17" s="41" t="s">
        <v>167</v>
      </c>
      <c r="B17" s="13"/>
      <c r="C17" s="87"/>
      <c r="D17" s="101"/>
      <c r="E17" s="48"/>
      <c r="F17" s="88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1"/>
      <c r="S17" s="52"/>
      <c r="T17" s="174"/>
      <c r="U17" s="209"/>
      <c r="V17" s="222"/>
      <c r="W17" s="51"/>
      <c r="X17" s="152"/>
      <c r="Y17" s="100"/>
      <c r="Z17" s="191"/>
      <c r="AA17" s="100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116"/>
    </row>
    <row r="18" spans="1:45" s="22" customFormat="1" x14ac:dyDescent="0.2">
      <c r="A18" s="29" t="s">
        <v>337</v>
      </c>
      <c r="B18" s="13" t="s">
        <v>169</v>
      </c>
      <c r="C18" s="87" t="s">
        <v>489</v>
      </c>
      <c r="D18" s="101">
        <v>10</v>
      </c>
      <c r="E18" s="48">
        <v>0.1</v>
      </c>
      <c r="F18" s="88">
        <v>42185</v>
      </c>
      <c r="G18" s="101">
        <v>120</v>
      </c>
      <c r="H18" s="201">
        <f>100/G18</f>
        <v>0.83333333333333337</v>
      </c>
      <c r="I18" s="233">
        <f t="shared" ref="I18" si="1">H18*J18</f>
        <v>34.166666666666671</v>
      </c>
      <c r="J18" s="90">
        <f>(YEAR(F18)-YEAR(S18))*12+MONTH(F18)-MONTH(S18)</f>
        <v>41</v>
      </c>
      <c r="K18" s="233">
        <f>L18*H18</f>
        <v>65.833333333333343</v>
      </c>
      <c r="L18" s="90">
        <f>G18-J18</f>
        <v>79</v>
      </c>
      <c r="M18" s="233">
        <f>N18*H18</f>
        <v>5.8333333333333339</v>
      </c>
      <c r="N18" s="90">
        <v>7</v>
      </c>
      <c r="O18" s="233">
        <f t="shared" si="0"/>
        <v>60.000000000000007</v>
      </c>
      <c r="P18" s="90">
        <f t="shared" si="0"/>
        <v>72</v>
      </c>
      <c r="Q18" s="90"/>
      <c r="R18" s="88" t="s">
        <v>595</v>
      </c>
      <c r="S18" s="52">
        <v>40909</v>
      </c>
      <c r="T18" s="174">
        <v>2199</v>
      </c>
      <c r="U18" s="209">
        <v>1447.62</v>
      </c>
      <c r="V18" s="222">
        <v>1447.62</v>
      </c>
      <c r="W18" s="98">
        <v>18.329999999999998</v>
      </c>
      <c r="X18" s="152">
        <f>W18*5</f>
        <v>91.649999999999991</v>
      </c>
      <c r="Y18" s="100">
        <v>115.958</v>
      </c>
      <c r="Z18" s="125">
        <v>104.28400000000001</v>
      </c>
      <c r="AA18" s="100">
        <f>Y18/Z18</f>
        <v>1.1119443059337961</v>
      </c>
      <c r="AB18" s="98">
        <f>V18*M18/100/K18*100/7</f>
        <v>18.324303797468353</v>
      </c>
      <c r="AC18" s="98">
        <f>AB18*AA18</f>
        <v>20.375605267795972</v>
      </c>
      <c r="AD18" s="98"/>
      <c r="AE18" s="98"/>
      <c r="AF18" s="98"/>
      <c r="AG18" s="98"/>
      <c r="AH18" s="98"/>
      <c r="AI18" s="98">
        <f>AC18</f>
        <v>20.375605267795972</v>
      </c>
      <c r="AJ18" s="98">
        <v>20.375605267795972</v>
      </c>
      <c r="AK18" s="98">
        <v>20.375605267795972</v>
      </c>
      <c r="AL18" s="98">
        <v>20.375605267795972</v>
      </c>
      <c r="AM18" s="98">
        <v>20.375605267795972</v>
      </c>
      <c r="AN18" s="98">
        <v>20.375605267795972</v>
      </c>
      <c r="AO18" s="98">
        <v>20.375605267795972</v>
      </c>
      <c r="AP18" s="98">
        <f>SUM(AD18:AO18)+X18</f>
        <v>234.27923687457178</v>
      </c>
      <c r="AQ18" s="116">
        <f>V18-AP18</f>
        <v>1213.3407631254281</v>
      </c>
    </row>
    <row r="19" spans="1:45" s="22" customFormat="1" x14ac:dyDescent="0.2">
      <c r="A19" s="41" t="s">
        <v>74</v>
      </c>
      <c r="B19" s="41" t="s">
        <v>28</v>
      </c>
      <c r="C19" s="87"/>
      <c r="D19" s="101"/>
      <c r="E19" s="6"/>
      <c r="F19" s="88"/>
      <c r="G19" s="101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88"/>
      <c r="S19" s="30"/>
      <c r="T19" s="3"/>
      <c r="U19" s="209"/>
      <c r="V19" s="222"/>
      <c r="W19" s="89"/>
      <c r="X19" s="152"/>
      <c r="Y19" s="100"/>
      <c r="Z19" s="192"/>
      <c r="AA19" s="100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116"/>
    </row>
    <row r="20" spans="1:45" s="22" customFormat="1" x14ac:dyDescent="0.2">
      <c r="A20" s="41" t="s">
        <v>80</v>
      </c>
      <c r="B20" s="46"/>
      <c r="C20" s="87"/>
      <c r="D20" s="101"/>
      <c r="E20" s="42"/>
      <c r="F20" s="88"/>
      <c r="G20" s="101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88"/>
      <c r="S20" s="30"/>
      <c r="T20" s="3"/>
      <c r="U20" s="211"/>
      <c r="V20" s="222"/>
      <c r="W20" s="89"/>
      <c r="X20" s="152"/>
      <c r="Y20" s="100"/>
      <c r="Z20" s="192"/>
      <c r="AA20" s="100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116"/>
    </row>
    <row r="21" spans="1:45" s="449" customFormat="1" x14ac:dyDescent="0.2">
      <c r="A21" s="434" t="s">
        <v>338</v>
      </c>
      <c r="B21" s="434" t="s">
        <v>889</v>
      </c>
      <c r="C21" s="450" t="s">
        <v>489</v>
      </c>
      <c r="D21" s="435">
        <v>10</v>
      </c>
      <c r="E21" s="451">
        <v>0.1</v>
      </c>
      <c r="F21" s="437">
        <v>42333</v>
      </c>
      <c r="G21" s="438">
        <v>120</v>
      </c>
      <c r="H21" s="439">
        <f t="shared" ref="H21" si="2">100/G21</f>
        <v>0.83333333333333337</v>
      </c>
      <c r="I21" s="440">
        <f t="shared" ref="I21" si="3">H21*J21</f>
        <v>0</v>
      </c>
      <c r="J21" s="438">
        <f>(YEAR(F21)-YEAR(S21))*12+MONTH(F21)-MONTH(S21)</f>
        <v>0</v>
      </c>
      <c r="K21" s="440">
        <f t="shared" ref="K21" si="4">L21*H21</f>
        <v>100</v>
      </c>
      <c r="L21" s="438">
        <f t="shared" ref="L21" si="5">G21-J21</f>
        <v>120</v>
      </c>
      <c r="M21" s="440">
        <f t="shared" ref="M21" si="6">N21*H21</f>
        <v>0.83333333333333337</v>
      </c>
      <c r="N21" s="438">
        <v>1</v>
      </c>
      <c r="O21" s="440">
        <f t="shared" ref="O21" si="7">P21*H21</f>
        <v>99.166666666666671</v>
      </c>
      <c r="P21" s="438">
        <f t="shared" ref="P21" si="8">L21-N21</f>
        <v>119</v>
      </c>
      <c r="Q21" s="438"/>
      <c r="R21" s="437" t="s">
        <v>888</v>
      </c>
      <c r="S21" s="437">
        <v>42333</v>
      </c>
      <c r="T21" s="443">
        <v>839.19</v>
      </c>
      <c r="U21" s="443">
        <v>0</v>
      </c>
      <c r="V21" s="444">
        <v>0</v>
      </c>
      <c r="W21" s="440">
        <v>0</v>
      </c>
      <c r="Y21" s="445">
        <v>115.958</v>
      </c>
      <c r="Z21" s="452">
        <v>118.051</v>
      </c>
      <c r="AA21" s="445">
        <f>Y21/Z21</f>
        <v>0.98227037466857536</v>
      </c>
      <c r="AB21" s="447">
        <f>H21*T21/100</f>
        <v>6.9932500000000006</v>
      </c>
      <c r="AC21" s="447">
        <f>AB21*AA21</f>
        <v>6.8692622976510149</v>
      </c>
      <c r="AD21" s="447"/>
      <c r="AE21" s="447"/>
      <c r="AF21" s="447"/>
      <c r="AG21" s="447"/>
      <c r="AH21" s="447"/>
      <c r="AI21" s="447"/>
      <c r="AJ21" s="447"/>
      <c r="AK21" s="447"/>
      <c r="AL21" s="447"/>
      <c r="AM21" s="447"/>
      <c r="AN21" s="447"/>
      <c r="AO21" s="447">
        <f t="shared" ref="AO21" si="9">SUM(AC21:AN21)+V21</f>
        <v>6.8692622976510149</v>
      </c>
      <c r="AP21" s="448">
        <f>SUM(AI21:AO21)</f>
        <v>6.8692622976510149</v>
      </c>
      <c r="AQ21" s="470">
        <f>T21-AP21</f>
        <v>832.32073770234899</v>
      </c>
      <c r="AR21" s="22"/>
      <c r="AS21" s="22"/>
    </row>
    <row r="22" spans="1:45" s="22" customFormat="1" x14ac:dyDescent="0.2">
      <c r="A22" s="29" t="s">
        <v>338</v>
      </c>
      <c r="B22" s="13" t="s">
        <v>43</v>
      </c>
      <c r="C22" s="87" t="s">
        <v>489</v>
      </c>
      <c r="D22" s="101">
        <v>10</v>
      </c>
      <c r="E22" s="38">
        <v>0.1</v>
      </c>
      <c r="F22" s="88">
        <v>42185</v>
      </c>
      <c r="G22" s="101">
        <v>120</v>
      </c>
      <c r="H22" s="201">
        <f>100/G22</f>
        <v>0.83333333333333337</v>
      </c>
      <c r="I22" s="233">
        <f t="shared" ref="I22" si="10">H22*J22</f>
        <v>60</v>
      </c>
      <c r="J22" s="90">
        <v>72</v>
      </c>
      <c r="K22" s="233">
        <f>L22*H22</f>
        <v>40</v>
      </c>
      <c r="L22" s="90">
        <f>G22-J22</f>
        <v>48</v>
      </c>
      <c r="M22" s="233">
        <f>N22*H22</f>
        <v>5.8333333333333339</v>
      </c>
      <c r="N22" s="90">
        <v>7</v>
      </c>
      <c r="O22" s="233">
        <f>K22-M22</f>
        <v>34.166666666666664</v>
      </c>
      <c r="P22" s="90">
        <f>L22-N22</f>
        <v>41</v>
      </c>
      <c r="Q22" s="90">
        <f>M22-O22</f>
        <v>-28.333333333333329</v>
      </c>
      <c r="R22" s="88" t="s">
        <v>724</v>
      </c>
      <c r="S22" s="29">
        <v>37257</v>
      </c>
      <c r="T22" s="19">
        <v>1731.13</v>
      </c>
      <c r="U22" s="211">
        <v>274.05</v>
      </c>
      <c r="V22" s="222">
        <v>274.05</v>
      </c>
      <c r="W22" s="89">
        <v>14.43</v>
      </c>
      <c r="X22" s="152">
        <f>W22*5</f>
        <v>72.150000000000006</v>
      </c>
      <c r="Y22" s="100">
        <v>115.958</v>
      </c>
      <c r="Z22" s="125">
        <v>98.253</v>
      </c>
      <c r="AA22" s="100">
        <f>Y22/Z22</f>
        <v>1.1801980601101238</v>
      </c>
      <c r="AB22" s="98">
        <f>V22*M22/100/K22*100/7</f>
        <v>5.7093750000000005</v>
      </c>
      <c r="AC22" s="98">
        <f>AB22*AA22</f>
        <v>6.7381932994412388</v>
      </c>
      <c r="AD22" s="98"/>
      <c r="AE22" s="98"/>
      <c r="AF22" s="98"/>
      <c r="AG22" s="98"/>
      <c r="AH22" s="98"/>
      <c r="AI22" s="98">
        <v>0</v>
      </c>
      <c r="AJ22" s="98"/>
      <c r="AK22" s="98"/>
      <c r="AL22" s="98"/>
      <c r="AM22" s="98"/>
      <c r="AN22" s="98"/>
      <c r="AO22" s="98">
        <v>47.18</v>
      </c>
      <c r="AP22" s="98">
        <f>SUM(AD22:AO22)+X22</f>
        <v>119.33000000000001</v>
      </c>
      <c r="AQ22" s="116">
        <f>V22-AP22</f>
        <v>154.72</v>
      </c>
    </row>
    <row r="23" spans="1:45" s="22" customFormat="1" x14ac:dyDescent="0.2">
      <c r="A23" s="41" t="s">
        <v>68</v>
      </c>
      <c r="B23" s="41"/>
      <c r="C23" s="87"/>
      <c r="D23" s="101"/>
      <c r="E23" s="48"/>
      <c r="F23" s="88"/>
      <c r="G23" s="101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88"/>
      <c r="S23" s="52"/>
      <c r="T23" s="174"/>
      <c r="U23" s="211"/>
      <c r="V23" s="222"/>
      <c r="W23" s="89"/>
      <c r="X23" s="152"/>
      <c r="Y23" s="100"/>
      <c r="Z23" s="192"/>
      <c r="AA23" s="100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116"/>
    </row>
    <row r="24" spans="1:45" s="22" customFormat="1" x14ac:dyDescent="0.2">
      <c r="A24" s="41" t="s">
        <v>87</v>
      </c>
      <c r="B24" s="13"/>
      <c r="C24" s="87"/>
      <c r="D24" s="101"/>
      <c r="E24" s="48"/>
      <c r="F24" s="88"/>
      <c r="G24" s="101"/>
      <c r="H24" s="201"/>
      <c r="I24" s="90"/>
      <c r="J24" s="90"/>
      <c r="K24" s="90"/>
      <c r="L24" s="90"/>
      <c r="M24" s="90"/>
      <c r="N24" s="90"/>
      <c r="O24" s="90"/>
      <c r="P24" s="90"/>
      <c r="Q24" s="90"/>
      <c r="R24" s="88"/>
      <c r="S24" s="52"/>
      <c r="T24" s="174"/>
      <c r="U24" s="209"/>
      <c r="V24" s="222"/>
      <c r="W24" s="89"/>
      <c r="X24" s="152"/>
      <c r="Y24" s="100"/>
      <c r="Z24" s="192"/>
      <c r="AA24" s="100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116"/>
    </row>
    <row r="25" spans="1:45" s="449" customFormat="1" x14ac:dyDescent="0.2">
      <c r="A25" s="434" t="s">
        <v>339</v>
      </c>
      <c r="B25" s="434" t="s">
        <v>871</v>
      </c>
      <c r="C25" s="450" t="s">
        <v>489</v>
      </c>
      <c r="D25" s="435">
        <v>10</v>
      </c>
      <c r="E25" s="451">
        <v>0.1</v>
      </c>
      <c r="F25" s="437">
        <v>42344</v>
      </c>
      <c r="G25" s="438">
        <v>120</v>
      </c>
      <c r="H25" s="439">
        <f>100/G25</f>
        <v>0.83333333333333337</v>
      </c>
      <c r="I25" s="440">
        <f>H25*J25</f>
        <v>0</v>
      </c>
      <c r="J25" s="438">
        <v>0</v>
      </c>
      <c r="K25" s="440">
        <f>L25*H25</f>
        <v>100</v>
      </c>
      <c r="L25" s="438">
        <f>G25-J25</f>
        <v>120</v>
      </c>
      <c r="M25" s="440">
        <f>N25*H25</f>
        <v>0.83333333333333337</v>
      </c>
      <c r="N25" s="438">
        <v>1</v>
      </c>
      <c r="O25" s="440">
        <f>P25*H25</f>
        <v>99.166666666666671</v>
      </c>
      <c r="P25" s="438">
        <f t="shared" ref="P25" si="11">L25-N25</f>
        <v>119</v>
      </c>
      <c r="Q25" s="438">
        <v>0</v>
      </c>
      <c r="R25" s="438">
        <v>3336</v>
      </c>
      <c r="S25" s="437">
        <v>42344</v>
      </c>
      <c r="T25" s="443">
        <f>2*734</f>
        <v>1468</v>
      </c>
      <c r="U25" s="445">
        <v>0</v>
      </c>
      <c r="V25" s="447">
        <v>0</v>
      </c>
      <c r="W25" s="447">
        <v>118.051</v>
      </c>
      <c r="Y25" s="445">
        <v>115.958</v>
      </c>
      <c r="Z25" s="447">
        <v>118.532</v>
      </c>
      <c r="AA25" s="447">
        <f>Y25/Z25</f>
        <v>0.97828434515573859</v>
      </c>
      <c r="AB25" s="447">
        <f>T25*H25/100</f>
        <v>12.233333333333334</v>
      </c>
      <c r="AC25" s="447">
        <f>AB25*AA25</f>
        <v>11.96767848907187</v>
      </c>
      <c r="AD25" s="447"/>
      <c r="AE25" s="447"/>
      <c r="AF25" s="447"/>
      <c r="AG25" s="447"/>
      <c r="AH25" s="447"/>
      <c r="AI25" s="447"/>
      <c r="AJ25" s="447"/>
      <c r="AK25" s="448"/>
      <c r="AL25" s="448">
        <v>0</v>
      </c>
      <c r="AM25" s="448">
        <v>0</v>
      </c>
      <c r="AN25" s="447">
        <v>0</v>
      </c>
      <c r="AO25" s="447">
        <f>AC25</f>
        <v>11.96767848907187</v>
      </c>
      <c r="AP25" s="448">
        <f>AO25</f>
        <v>11.96767848907187</v>
      </c>
      <c r="AQ25" s="448">
        <f>T25-AP25</f>
        <v>1456.0323215109281</v>
      </c>
      <c r="AR25" s="22"/>
      <c r="AS25" s="22"/>
    </row>
    <row r="26" spans="1:45" s="22" customFormat="1" x14ac:dyDescent="0.2">
      <c r="A26" s="29" t="s">
        <v>339</v>
      </c>
      <c r="B26" s="13" t="s">
        <v>170</v>
      </c>
      <c r="C26" s="87" t="s">
        <v>489</v>
      </c>
      <c r="D26" s="101">
        <v>10</v>
      </c>
      <c r="E26" s="38">
        <v>0.1</v>
      </c>
      <c r="F26" s="88">
        <v>42185</v>
      </c>
      <c r="G26" s="101">
        <v>120</v>
      </c>
      <c r="H26" s="201">
        <f>100/G26</f>
        <v>0.83333333333333337</v>
      </c>
      <c r="I26" s="233">
        <f t="shared" ref="I26" si="12">H26*J26</f>
        <v>60</v>
      </c>
      <c r="J26" s="90">
        <v>72</v>
      </c>
      <c r="K26" s="233">
        <f>L26*H26</f>
        <v>40</v>
      </c>
      <c r="L26" s="90">
        <f>G26-J26</f>
        <v>48</v>
      </c>
      <c r="M26" s="233">
        <f>N26*H26</f>
        <v>5.8333333333333339</v>
      </c>
      <c r="N26" s="90">
        <v>7</v>
      </c>
      <c r="O26" s="233">
        <f t="shared" ref="O26:Q26" si="13">K26-M26</f>
        <v>34.166666666666664</v>
      </c>
      <c r="P26" s="90">
        <f t="shared" si="13"/>
        <v>41</v>
      </c>
      <c r="Q26" s="90">
        <f t="shared" si="13"/>
        <v>-28.333333333333329</v>
      </c>
      <c r="R26" s="179" t="s">
        <v>595</v>
      </c>
      <c r="S26" s="52">
        <v>36892</v>
      </c>
      <c r="T26" s="174">
        <v>1038</v>
      </c>
      <c r="U26" s="209">
        <v>60.56</v>
      </c>
      <c r="V26" s="222">
        <v>60.56</v>
      </c>
      <c r="W26" s="89">
        <v>8.65</v>
      </c>
      <c r="X26" s="152">
        <f>W26*5</f>
        <v>43.25</v>
      </c>
      <c r="Y26" s="100">
        <v>115.958</v>
      </c>
      <c r="Z26" s="125">
        <v>93.765000000000001</v>
      </c>
      <c r="AA26" s="100">
        <f>Y26/Z26</f>
        <v>1.2366874633391991</v>
      </c>
      <c r="AB26" s="98">
        <f>V26*M26/100/K26*100/7</f>
        <v>1.2616666666666669</v>
      </c>
      <c r="AC26" s="98">
        <f>AB26*AA26</f>
        <v>1.5602873495796232</v>
      </c>
      <c r="AD26" s="98"/>
      <c r="AE26" s="98"/>
      <c r="AF26" s="98"/>
      <c r="AG26" s="98"/>
      <c r="AH26" s="98"/>
      <c r="AI26" s="98">
        <v>0</v>
      </c>
      <c r="AJ26" s="98"/>
      <c r="AK26" s="98"/>
      <c r="AL26" s="98"/>
      <c r="AM26" s="98"/>
      <c r="AN26" s="98"/>
      <c r="AO26" s="98">
        <v>10.92</v>
      </c>
      <c r="AP26" s="98">
        <f>SUM(AD26:AO26)+X26</f>
        <v>54.17</v>
      </c>
      <c r="AQ26" s="116">
        <f>V26-AP26</f>
        <v>6.3900000000000006</v>
      </c>
    </row>
    <row r="27" spans="1:45" s="22" customFormat="1" x14ac:dyDescent="0.2">
      <c r="A27" s="41" t="s">
        <v>74</v>
      </c>
      <c r="B27" s="41" t="s">
        <v>335</v>
      </c>
      <c r="C27" s="87"/>
      <c r="D27" s="101"/>
      <c r="E27" s="38"/>
      <c r="F27" s="88"/>
      <c r="G27" s="101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9"/>
      <c r="S27" s="29"/>
      <c r="T27" s="19"/>
      <c r="U27" s="209"/>
      <c r="V27" s="222"/>
      <c r="W27" s="89"/>
      <c r="X27" s="152"/>
      <c r="Y27" s="100"/>
      <c r="Z27" s="192"/>
      <c r="AA27" s="100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116"/>
    </row>
    <row r="28" spans="1:45" s="22" customFormat="1" x14ac:dyDescent="0.2">
      <c r="A28" s="41" t="s">
        <v>355</v>
      </c>
      <c r="B28" s="13"/>
      <c r="C28" s="87"/>
      <c r="D28" s="101"/>
      <c r="E28" s="38"/>
      <c r="F28" s="88"/>
      <c r="G28" s="101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179"/>
      <c r="S28" s="29"/>
      <c r="T28" s="19"/>
      <c r="U28" s="209"/>
      <c r="V28" s="222"/>
      <c r="W28" s="89"/>
      <c r="X28" s="152"/>
      <c r="Y28" s="100"/>
      <c r="Z28" s="192"/>
      <c r="AA28" s="100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116"/>
    </row>
    <row r="29" spans="1:45" s="22" customFormat="1" x14ac:dyDescent="0.2">
      <c r="A29" s="29" t="s">
        <v>356</v>
      </c>
      <c r="B29" s="145" t="s">
        <v>490</v>
      </c>
      <c r="C29" s="87" t="s">
        <v>489</v>
      </c>
      <c r="D29" s="101">
        <v>10</v>
      </c>
      <c r="E29" s="38">
        <v>0.1</v>
      </c>
      <c r="F29" s="88">
        <v>42185</v>
      </c>
      <c r="G29" s="101">
        <v>120</v>
      </c>
      <c r="H29" s="201">
        <f>100/G29</f>
        <v>0.83333333333333337</v>
      </c>
      <c r="I29" s="233">
        <f t="shared" ref="I29" si="14">H29*J29</f>
        <v>12.5</v>
      </c>
      <c r="J29" s="90">
        <f>(YEAR(F29)-YEAR(S29))*12+MONTH(F29)-MONTH(S29)</f>
        <v>15</v>
      </c>
      <c r="K29" s="233">
        <f>L29*H29</f>
        <v>87.5</v>
      </c>
      <c r="L29" s="90">
        <f>G29-J29</f>
        <v>105</v>
      </c>
      <c r="M29" s="233">
        <f>N29*H29</f>
        <v>5.8333333333333339</v>
      </c>
      <c r="N29" s="90">
        <v>7</v>
      </c>
      <c r="O29" s="233">
        <f t="shared" ref="O29:Q29" si="15">K29-M29</f>
        <v>81.666666666666671</v>
      </c>
      <c r="P29" s="90">
        <f t="shared" si="15"/>
        <v>98</v>
      </c>
      <c r="Q29" s="90">
        <f t="shared" si="15"/>
        <v>-75.833333333333343</v>
      </c>
      <c r="R29" s="179" t="s">
        <v>723</v>
      </c>
      <c r="S29" s="29">
        <v>41702</v>
      </c>
      <c r="T29" s="19">
        <v>6478.6</v>
      </c>
      <c r="U29" s="209">
        <v>5560.78</v>
      </c>
      <c r="V29" s="222">
        <v>5560.78</v>
      </c>
      <c r="W29" s="89">
        <v>53.99</v>
      </c>
      <c r="X29" s="152">
        <f>W29*5</f>
        <v>269.95</v>
      </c>
      <c r="Y29" s="100">
        <v>115.958</v>
      </c>
      <c r="Z29" s="125">
        <v>113.099</v>
      </c>
      <c r="AA29" s="100">
        <f>Y29/Z29</f>
        <v>1.0252787380967117</v>
      </c>
      <c r="AB29" s="98">
        <f>V29*M29/100/K29*100/7</f>
        <v>52.959809523809533</v>
      </c>
      <c r="AC29" s="98">
        <f>AB29*AA29</f>
        <v>54.29856667841365</v>
      </c>
      <c r="AD29" s="98"/>
      <c r="AE29" s="98"/>
      <c r="AF29" s="98"/>
      <c r="AG29" s="98"/>
      <c r="AH29" s="98"/>
      <c r="AI29" s="98">
        <f>AC29</f>
        <v>54.29856667841365</v>
      </c>
      <c r="AJ29" s="98">
        <v>54.29856667841365</v>
      </c>
      <c r="AK29" s="98">
        <v>54.29856667841365</v>
      </c>
      <c r="AL29" s="98">
        <v>54.29856667841365</v>
      </c>
      <c r="AM29" s="98">
        <v>54.29856667841365</v>
      </c>
      <c r="AN29" s="98">
        <v>54.29856667841365</v>
      </c>
      <c r="AO29" s="98">
        <v>54.29856667841365</v>
      </c>
      <c r="AP29" s="98">
        <f>SUM(AD29:AO29)+X29</f>
        <v>650.03996674889549</v>
      </c>
      <c r="AQ29" s="116">
        <f>V29-AP29</f>
        <v>4910.7400332511043</v>
      </c>
    </row>
    <row r="30" spans="1:45" s="22" customFormat="1" x14ac:dyDescent="0.2">
      <c r="A30" s="41" t="s">
        <v>74</v>
      </c>
      <c r="B30" s="41" t="s">
        <v>90</v>
      </c>
      <c r="C30" s="87"/>
      <c r="D30" s="101"/>
      <c r="E30" s="38"/>
      <c r="F30" s="88"/>
      <c r="G30" s="101"/>
      <c r="H30" s="201"/>
      <c r="I30" s="233"/>
      <c r="J30" s="90"/>
      <c r="K30" s="233"/>
      <c r="L30" s="90"/>
      <c r="M30" s="233"/>
      <c r="N30" s="90"/>
      <c r="O30" s="233"/>
      <c r="P30" s="90"/>
      <c r="Q30" s="90"/>
      <c r="R30" s="24"/>
      <c r="S30" s="29"/>
      <c r="T30" s="19"/>
      <c r="U30" s="212"/>
      <c r="V30" s="224"/>
      <c r="W30" s="18"/>
      <c r="X30" s="152"/>
      <c r="Y30" s="100"/>
      <c r="Z30" s="192"/>
      <c r="AA30" s="100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116"/>
    </row>
    <row r="31" spans="1:45" s="22" customFormat="1" x14ac:dyDescent="0.2">
      <c r="A31" s="41" t="s">
        <v>110</v>
      </c>
      <c r="B31" s="13"/>
      <c r="C31" s="87"/>
      <c r="D31" s="101"/>
      <c r="E31" s="38"/>
      <c r="F31" s="88"/>
      <c r="G31" s="101"/>
      <c r="H31" s="201"/>
      <c r="I31" s="233"/>
      <c r="J31" s="90"/>
      <c r="K31" s="233"/>
      <c r="L31" s="90"/>
      <c r="M31" s="233"/>
      <c r="N31" s="90"/>
      <c r="O31" s="233"/>
      <c r="P31" s="90"/>
      <c r="Q31" s="90"/>
      <c r="R31" s="88"/>
      <c r="S31" s="29"/>
      <c r="T31" s="19"/>
      <c r="U31" s="209"/>
      <c r="V31" s="222"/>
      <c r="W31" s="89"/>
      <c r="X31" s="152"/>
      <c r="Y31" s="100"/>
      <c r="Z31" s="192"/>
      <c r="AA31" s="100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116"/>
    </row>
    <row r="32" spans="1:45" s="22" customFormat="1" x14ac:dyDescent="0.2">
      <c r="A32" s="29" t="s">
        <v>340</v>
      </c>
      <c r="B32" s="13" t="s">
        <v>172</v>
      </c>
      <c r="C32" s="87" t="s">
        <v>489</v>
      </c>
      <c r="D32" s="101">
        <v>10</v>
      </c>
      <c r="E32" s="38">
        <v>0.1</v>
      </c>
      <c r="F32" s="88">
        <v>42185</v>
      </c>
      <c r="G32" s="101">
        <v>120</v>
      </c>
      <c r="H32" s="201">
        <f>100/G32</f>
        <v>0.83333333333333337</v>
      </c>
      <c r="I32" s="233">
        <f t="shared" ref="I32" si="16">H32*J32</f>
        <v>30</v>
      </c>
      <c r="J32" s="90">
        <v>36</v>
      </c>
      <c r="K32" s="233">
        <f>L32*H32</f>
        <v>70</v>
      </c>
      <c r="L32" s="90">
        <f>G32-J32</f>
        <v>84</v>
      </c>
      <c r="M32" s="233">
        <f>N32*H32</f>
        <v>5.8333333333333339</v>
      </c>
      <c r="N32" s="90">
        <v>7</v>
      </c>
      <c r="O32" s="233">
        <f t="shared" ref="O32:Q32" si="17">K32-M32</f>
        <v>64.166666666666671</v>
      </c>
      <c r="P32" s="90">
        <f t="shared" si="17"/>
        <v>77</v>
      </c>
      <c r="Q32" s="90">
        <f t="shared" si="17"/>
        <v>-58.333333333333336</v>
      </c>
      <c r="R32" s="171" t="s">
        <v>595</v>
      </c>
      <c r="S32" s="29">
        <v>40544</v>
      </c>
      <c r="T32" s="19">
        <v>330</v>
      </c>
      <c r="U32" s="209">
        <v>184.25</v>
      </c>
      <c r="V32" s="222">
        <v>184.25</v>
      </c>
      <c r="W32" s="89">
        <v>2.75</v>
      </c>
      <c r="X32" s="152">
        <f>W32*5</f>
        <v>13.75</v>
      </c>
      <c r="Y32" s="100">
        <v>115.958</v>
      </c>
      <c r="Z32" s="125">
        <v>113.099</v>
      </c>
      <c r="AA32" s="100">
        <f>Y32/Z32</f>
        <v>1.0252787380967117</v>
      </c>
      <c r="AB32" s="98">
        <f>V32*M32/100/K32*100/7</f>
        <v>2.1934523809523809</v>
      </c>
      <c r="AC32" s="98">
        <f>AB32*AA32</f>
        <v>2.2489000892180848</v>
      </c>
      <c r="AD32" s="98"/>
      <c r="AE32" s="98"/>
      <c r="AF32" s="98"/>
      <c r="AG32" s="98"/>
      <c r="AH32" s="98"/>
      <c r="AI32" s="98">
        <f>AC32</f>
        <v>2.2489000892180848</v>
      </c>
      <c r="AJ32" s="98">
        <v>2.2489000892180848</v>
      </c>
      <c r="AK32" s="98">
        <v>2.2489000892180848</v>
      </c>
      <c r="AL32" s="98">
        <v>2.2489000892180848</v>
      </c>
      <c r="AM32" s="98">
        <v>2.2489000892180848</v>
      </c>
      <c r="AN32" s="98">
        <v>2.2489000892180848</v>
      </c>
      <c r="AO32" s="98">
        <v>2.2489000892180848</v>
      </c>
      <c r="AP32" s="98">
        <f>SUM(AD32:AO32)+X32</f>
        <v>29.492300624526592</v>
      </c>
      <c r="AQ32" s="116">
        <f>V32-AP32</f>
        <v>154.75769937547341</v>
      </c>
    </row>
    <row r="33" spans="1:45" x14ac:dyDescent="0.2">
      <c r="R33" s="243"/>
      <c r="X33" s="309"/>
      <c r="AB33" s="263"/>
      <c r="AC33" s="263"/>
      <c r="AD33" s="263">
        <f t="shared" ref="AD33:AI33" si="18">SUM(AD15:AD32)</f>
        <v>0</v>
      </c>
      <c r="AE33" s="263">
        <f t="shared" si="18"/>
        <v>0</v>
      </c>
      <c r="AF33" s="263">
        <f t="shared" si="18"/>
        <v>0</v>
      </c>
      <c r="AG33" s="263">
        <f t="shared" si="18"/>
        <v>0</v>
      </c>
      <c r="AH33" s="263">
        <f t="shared" si="18"/>
        <v>0</v>
      </c>
      <c r="AI33" s="263">
        <f t="shared" si="18"/>
        <v>277.95533294969624</v>
      </c>
      <c r="AJ33" s="263"/>
      <c r="AK33" s="263"/>
      <c r="AL33" s="263"/>
      <c r="AM33" s="263"/>
      <c r="AN33" s="263"/>
      <c r="AO33" s="374">
        <f t="shared" ref="AO33:AQ33" si="19">SUM(AO15:AO32)</f>
        <v>354.89227373641916</v>
      </c>
      <c r="AP33" s="263">
        <f t="shared" si="19"/>
        <v>3596.7242714345962</v>
      </c>
      <c r="AQ33" s="263">
        <f t="shared" si="19"/>
        <v>10355.315728565405</v>
      </c>
    </row>
    <row r="34" spans="1:45" s="150" customFormat="1" x14ac:dyDescent="0.2">
      <c r="A34" s="156" t="s">
        <v>460</v>
      </c>
      <c r="B34" s="132"/>
      <c r="C34" s="132"/>
      <c r="D34" s="133"/>
      <c r="E34" s="133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4"/>
      <c r="S34" s="134"/>
      <c r="T34" s="135"/>
      <c r="U34" s="135"/>
      <c r="V34" s="135"/>
      <c r="W34" s="135"/>
      <c r="Y34"/>
      <c r="Z34" s="121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113"/>
      <c r="AR34" s="149"/>
      <c r="AS34" s="149"/>
    </row>
    <row r="35" spans="1:45" s="150" customFormat="1" x14ac:dyDescent="0.2">
      <c r="A35" s="310" t="s">
        <v>719</v>
      </c>
      <c r="B35" s="311"/>
      <c r="C35" s="311"/>
      <c r="D35" s="312"/>
      <c r="E35" s="312"/>
      <c r="F35"/>
      <c r="G35"/>
      <c r="H35"/>
      <c r="I35"/>
      <c r="J35"/>
      <c r="K35"/>
      <c r="L35"/>
      <c r="M35"/>
      <c r="N35"/>
      <c r="O35"/>
      <c r="P35"/>
      <c r="Q35"/>
      <c r="R35" s="28"/>
      <c r="S35" s="28"/>
      <c r="T35" s="16"/>
      <c r="U35" s="16"/>
      <c r="V35" s="16"/>
      <c r="W35" s="16"/>
      <c r="Y35"/>
      <c r="Z35" s="121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113"/>
      <c r="AR35" s="149"/>
      <c r="AS35" s="149"/>
    </row>
    <row r="36" spans="1:45" ht="30.75" hidden="1" customHeight="1" x14ac:dyDescent="0.2">
      <c r="A36" s="568" t="s">
        <v>613</v>
      </c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239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</row>
    <row r="37" spans="1:45" hidden="1" x14ac:dyDescent="0.2">
      <c r="A37" s="568"/>
      <c r="B37" s="568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</row>
    <row r="38" spans="1:45" x14ac:dyDescent="0.2">
      <c r="AP38" s="373"/>
    </row>
    <row r="39" spans="1:45" x14ac:dyDescent="0.2">
      <c r="X39" s="567" t="s">
        <v>1062</v>
      </c>
      <c r="Y39" s="572"/>
      <c r="Z39" s="572"/>
      <c r="AA39" s="572"/>
      <c r="AB39" s="572"/>
      <c r="AO39" s="376">
        <f>SUM(AO33-(AO25+AO21))</f>
        <v>336.05533294969626</v>
      </c>
    </row>
    <row r="40" spans="1:45" x14ac:dyDescent="0.2">
      <c r="X40" s="572"/>
      <c r="Y40" s="572"/>
      <c r="Z40" s="572"/>
      <c r="AA40" s="572"/>
      <c r="AB40" s="572"/>
      <c r="AO40" s="527">
        <f>AP25+AP21+AO39</f>
        <v>354.89227373641916</v>
      </c>
    </row>
    <row r="41" spans="1:45" x14ac:dyDescent="0.2">
      <c r="X41" s="572"/>
      <c r="Y41" s="572"/>
      <c r="Z41" s="572"/>
      <c r="AA41" s="572"/>
      <c r="AB41" s="572"/>
    </row>
    <row r="42" spans="1:45" x14ac:dyDescent="0.2">
      <c r="X42" s="572"/>
      <c r="Y42" s="572"/>
      <c r="Z42" s="572"/>
      <c r="AA42" s="572"/>
      <c r="AB42" s="572"/>
    </row>
  </sheetData>
  <mergeCells count="25">
    <mergeCell ref="X39:AB42"/>
    <mergeCell ref="D10:P10"/>
    <mergeCell ref="R10:T10"/>
    <mergeCell ref="V10:AQ10"/>
    <mergeCell ref="A11:A12"/>
    <mergeCell ref="B11:B12"/>
    <mergeCell ref="E11:E12"/>
    <mergeCell ref="F11:F12"/>
    <mergeCell ref="G11:G12"/>
    <mergeCell ref="H11:H12"/>
    <mergeCell ref="I11:I12"/>
    <mergeCell ref="AB11:AB12"/>
    <mergeCell ref="AC11:AC12"/>
    <mergeCell ref="A36:Y37"/>
    <mergeCell ref="R11:R12"/>
    <mergeCell ref="S11:S12"/>
    <mergeCell ref="T11:T12"/>
    <mergeCell ref="V11:V12"/>
    <mergeCell ref="X11:X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39"/>
  <sheetViews>
    <sheetView topLeftCell="K10" zoomScale="110" zoomScaleNormal="110" workbookViewId="0">
      <pane ySplit="10020" topLeftCell="A29" activePane="bottomLeft"/>
      <selection activeCell="AR33" sqref="AP33:AR33"/>
      <selection pane="bottomLeft" activeCell="AC33" sqref="AC33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2" width="8.42578125" style="16" customWidth="1"/>
    <col min="23" max="23" width="8.42578125" style="16" hidden="1" customWidth="1"/>
    <col min="24" max="24" width="10.140625" style="150" customWidth="1"/>
    <col min="25" max="25" width="8.7109375" hidden="1" customWidth="1"/>
    <col min="26" max="26" width="8.7109375" customWidth="1"/>
    <col min="27" max="27" width="8.7109375" style="121" customWidth="1"/>
    <col min="28" max="28" width="7.42578125" customWidth="1"/>
    <col min="29" max="30" width="10.42578125" customWidth="1"/>
    <col min="31" max="35" width="7.7109375" hidden="1" customWidth="1"/>
    <col min="36" max="36" width="11.28515625" hidden="1" customWidth="1"/>
    <col min="37" max="38" width="7.7109375" hidden="1" customWidth="1"/>
    <col min="39" max="39" width="8.85546875" hidden="1" customWidth="1"/>
    <col min="40" max="41" width="7.7109375" hidden="1" customWidth="1"/>
    <col min="42" max="42" width="7.7109375" customWidth="1"/>
    <col min="43" max="43" width="9.28515625" customWidth="1"/>
    <col min="44" max="44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47"/>
      <c r="Y1" s="139"/>
      <c r="Z1" s="139"/>
      <c r="AA1" s="140"/>
      <c r="AB1" s="139"/>
      <c r="AC1" s="139"/>
      <c r="AD1" s="139"/>
      <c r="AE1" s="139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9" t="s">
        <v>454</v>
      </c>
      <c r="AQ1" s="137"/>
      <c r="AR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47"/>
      <c r="Y2" s="139"/>
      <c r="Z2" s="139"/>
      <c r="AA2" s="140"/>
      <c r="AB2" s="139"/>
      <c r="AC2" s="139"/>
      <c r="AD2" s="139"/>
      <c r="AE2" s="139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8"/>
      <c r="Y3" s="139"/>
      <c r="Z3" s="139"/>
      <c r="AA3" s="140"/>
      <c r="AB3" s="139"/>
      <c r="AC3" s="139"/>
      <c r="AD3" s="139"/>
      <c r="AE3" s="139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8"/>
      <c r="Y4" s="139"/>
      <c r="Z4" s="139"/>
      <c r="AA4" s="140"/>
      <c r="AB4" s="139"/>
      <c r="AC4" s="139"/>
      <c r="AD4" s="139"/>
      <c r="AE4" s="139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41"/>
    </row>
    <row r="5" spans="1:45" x14ac:dyDescent="0.2">
      <c r="A5" s="137"/>
      <c r="B5" s="144" t="s">
        <v>495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47"/>
      <c r="Y5" s="139"/>
      <c r="Z5" s="139"/>
      <c r="AA5" s="140"/>
      <c r="AB5" s="139"/>
      <c r="AC5" s="139"/>
      <c r="AD5" s="139"/>
      <c r="AE5" s="139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47"/>
      <c r="Y6" s="139"/>
      <c r="Z6" s="139"/>
      <c r="AA6" s="140"/>
      <c r="AB6" s="139"/>
      <c r="AC6" s="139"/>
      <c r="AD6" s="139"/>
      <c r="AE6" s="139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47"/>
      <c r="Y7" s="139"/>
      <c r="Z7" s="139"/>
      <c r="AA7" s="140"/>
      <c r="AB7" s="139"/>
      <c r="AC7" s="139"/>
      <c r="AD7" s="139"/>
      <c r="AE7" s="139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149"/>
      <c r="Y8" s="81"/>
      <c r="Z8" s="81"/>
      <c r="AA8" s="120"/>
      <c r="AB8" s="81"/>
      <c r="AC8" s="81"/>
      <c r="AD8" s="81"/>
      <c r="AE8" s="81"/>
      <c r="AR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149"/>
      <c r="Y9" s="81"/>
      <c r="Z9" s="81"/>
      <c r="AA9" s="120"/>
      <c r="AB9" s="81"/>
      <c r="AC9" s="81"/>
      <c r="AD9" s="81"/>
      <c r="AE9" s="81"/>
      <c r="AR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01"/>
      <c r="V10" s="551" t="s">
        <v>600</v>
      </c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</row>
    <row r="11" spans="1:45" ht="54" customHeight="1" x14ac:dyDescent="0.25">
      <c r="A11" s="552" t="s">
        <v>60</v>
      </c>
      <c r="B11" s="552" t="s">
        <v>0</v>
      </c>
      <c r="C11" s="302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03" t="s">
        <v>680</v>
      </c>
      <c r="O11" s="556" t="s">
        <v>643</v>
      </c>
      <c r="P11" s="308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05"/>
      <c r="V11" s="558" t="s">
        <v>597</v>
      </c>
      <c r="W11" s="304"/>
      <c r="X11" s="570" t="s">
        <v>720</v>
      </c>
      <c r="Y11" s="558" t="s">
        <v>589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5" ht="32.25" customHeight="1" x14ac:dyDescent="0.25">
      <c r="A12" s="553"/>
      <c r="B12" s="553"/>
      <c r="C12" s="229" t="s">
        <v>494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06"/>
      <c r="V12" s="569"/>
      <c r="W12" s="307" t="s">
        <v>721</v>
      </c>
      <c r="X12" s="571">
        <v>41639</v>
      </c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5" s="22" customFormat="1" ht="13.5" x14ac:dyDescent="0.25">
      <c r="A13" s="46"/>
      <c r="B13" s="15"/>
      <c r="C13" s="87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54"/>
      <c r="Y13" s="110"/>
      <c r="Z13" s="110"/>
      <c r="AA13" s="126"/>
      <c r="AB13" s="110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17"/>
    </row>
    <row r="14" spans="1:45" s="22" customFormat="1" x14ac:dyDescent="0.2">
      <c r="A14" s="41" t="s">
        <v>68</v>
      </c>
      <c r="B14" s="41" t="s">
        <v>26</v>
      </c>
      <c r="C14" s="178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54"/>
      <c r="Y14" s="110"/>
      <c r="Z14" s="110"/>
      <c r="AA14" s="158"/>
      <c r="AB14" s="110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17"/>
    </row>
    <row r="15" spans="1:45" s="22" customFormat="1" x14ac:dyDescent="0.2">
      <c r="A15" s="41" t="s">
        <v>69</v>
      </c>
      <c r="B15" s="54"/>
      <c r="C15" s="87"/>
      <c r="D15" s="101"/>
      <c r="E15" s="48"/>
      <c r="F15" s="88"/>
      <c r="G15" s="101"/>
      <c r="H15" s="201"/>
      <c r="I15" s="233"/>
      <c r="J15" s="90"/>
      <c r="K15" s="233"/>
      <c r="L15" s="90"/>
      <c r="M15" s="233"/>
      <c r="N15" s="90"/>
      <c r="O15" s="233"/>
      <c r="P15" s="90"/>
      <c r="Q15" s="88"/>
      <c r="R15" s="88"/>
      <c r="S15" s="52"/>
      <c r="T15" s="174"/>
      <c r="U15" s="209"/>
      <c r="V15" s="222"/>
      <c r="W15" s="89"/>
      <c r="X15" s="152"/>
      <c r="Y15" s="233"/>
      <c r="Z15" s="100"/>
      <c r="AA15" s="125"/>
      <c r="AB15" s="100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116"/>
      <c r="AS15" s="168"/>
    </row>
    <row r="16" spans="1:45" s="22" customFormat="1" x14ac:dyDescent="0.2">
      <c r="A16" s="29" t="s">
        <v>160</v>
      </c>
      <c r="B16" s="13" t="s">
        <v>56</v>
      </c>
      <c r="C16" s="87" t="s">
        <v>495</v>
      </c>
      <c r="D16" s="101">
        <v>3</v>
      </c>
      <c r="E16" s="48">
        <v>0.33329999999999999</v>
      </c>
      <c r="F16" s="88">
        <v>42185</v>
      </c>
      <c r="G16" s="101">
        <v>120</v>
      </c>
      <c r="H16" s="201">
        <f>100/G16</f>
        <v>0.83333333333333337</v>
      </c>
      <c r="I16" s="233">
        <f t="shared" ref="I16:I17" si="0">H16*J16</f>
        <v>21.666666666666668</v>
      </c>
      <c r="J16" s="90">
        <f>(YEAR(F16)-YEAR(S16))*12+MONTH(F16)-MONTH(S16)</f>
        <v>26</v>
      </c>
      <c r="K16" s="233">
        <f>L16*H16</f>
        <v>78.333333333333343</v>
      </c>
      <c r="L16" s="90">
        <f>G16-J16</f>
        <v>94</v>
      </c>
      <c r="M16" s="233">
        <f>N16*H16</f>
        <v>5.8333333333333339</v>
      </c>
      <c r="N16" s="90">
        <v>7</v>
      </c>
      <c r="O16" s="233">
        <f t="shared" ref="O16:O17" si="1">K16-M16</f>
        <v>72.500000000000014</v>
      </c>
      <c r="P16" s="90">
        <f t="shared" ref="P16:P17" si="2">L16-N16</f>
        <v>87</v>
      </c>
      <c r="Q16" s="90"/>
      <c r="R16" s="88" t="s">
        <v>595</v>
      </c>
      <c r="S16" s="52">
        <v>41365</v>
      </c>
      <c r="T16" s="9">
        <v>349</v>
      </c>
      <c r="U16" s="209"/>
      <c r="V16" s="222">
        <v>97.01</v>
      </c>
      <c r="W16" s="89"/>
      <c r="X16" s="152">
        <v>48.45</v>
      </c>
      <c r="Y16" s="233">
        <v>0</v>
      </c>
      <c r="Z16" s="100">
        <v>115.958</v>
      </c>
      <c r="AA16" s="100">
        <v>109.074</v>
      </c>
      <c r="AB16" s="100">
        <f>Z16/AA16</f>
        <v>1.0631131158662925</v>
      </c>
      <c r="AC16" s="98">
        <f>V16*M16/100/K16*100/7</f>
        <v>1.0320212765957446</v>
      </c>
      <c r="AD16" s="98">
        <f>AC16*AB16</f>
        <v>1.097155355002011</v>
      </c>
      <c r="AE16" s="98"/>
      <c r="AF16" s="98"/>
      <c r="AG16" s="98"/>
      <c r="AH16" s="98"/>
      <c r="AI16" s="98"/>
      <c r="AJ16" s="98">
        <f>AD16</f>
        <v>1.097155355002011</v>
      </c>
      <c r="AK16" s="98">
        <v>1.097155355002011</v>
      </c>
      <c r="AL16" s="98">
        <v>1.097155355002011</v>
      </c>
      <c r="AM16" s="98">
        <v>1.097155355002011</v>
      </c>
      <c r="AN16" s="98">
        <v>1.097155355002011</v>
      </c>
      <c r="AO16" s="98">
        <v>1.097155355002011</v>
      </c>
      <c r="AP16" s="98">
        <v>1.097155355002011</v>
      </c>
      <c r="AQ16" s="98">
        <f>SUM(AE16:AP16)+X16</f>
        <v>56.13008748501408</v>
      </c>
      <c r="AR16" s="116">
        <f>V16-AQ16</f>
        <v>40.879912514985925</v>
      </c>
    </row>
    <row r="17" spans="1:44" s="22" customFormat="1" x14ac:dyDescent="0.2">
      <c r="A17" s="29" t="s">
        <v>160</v>
      </c>
      <c r="B17" s="13" t="s">
        <v>54</v>
      </c>
      <c r="C17" s="87" t="s">
        <v>495</v>
      </c>
      <c r="D17" s="101">
        <v>3</v>
      </c>
      <c r="E17" s="48">
        <v>0.33329999999999999</v>
      </c>
      <c r="F17" s="88">
        <v>42185</v>
      </c>
      <c r="G17" s="101">
        <v>120</v>
      </c>
      <c r="H17" s="201">
        <f>100/G17</f>
        <v>0.83333333333333337</v>
      </c>
      <c r="I17" s="233">
        <f t="shared" si="0"/>
        <v>15</v>
      </c>
      <c r="J17" s="90">
        <f>(YEAR(F17)-YEAR(S17))*12+MONTH(F17)-MONTH(S17)</f>
        <v>18</v>
      </c>
      <c r="K17" s="233">
        <f>L17*H17</f>
        <v>85</v>
      </c>
      <c r="L17" s="90">
        <f>G17-J17</f>
        <v>102</v>
      </c>
      <c r="M17" s="233">
        <f>N17*H17</f>
        <v>5.8333333333333339</v>
      </c>
      <c r="N17" s="90">
        <v>7</v>
      </c>
      <c r="O17" s="233">
        <f t="shared" si="1"/>
        <v>79.166666666666671</v>
      </c>
      <c r="P17" s="90">
        <f t="shared" si="2"/>
        <v>95</v>
      </c>
      <c r="Q17" s="90"/>
      <c r="R17" s="88" t="s">
        <v>595</v>
      </c>
      <c r="S17" s="52">
        <v>41609</v>
      </c>
      <c r="T17" s="198">
        <v>2199</v>
      </c>
      <c r="U17" s="209"/>
      <c r="V17" s="222">
        <v>1099.58</v>
      </c>
      <c r="W17" s="89"/>
      <c r="X17" s="152">
        <v>305.39999999999998</v>
      </c>
      <c r="Y17" s="233">
        <v>0</v>
      </c>
      <c r="Z17" s="100">
        <v>115.958</v>
      </c>
      <c r="AA17" s="195">
        <v>111.508</v>
      </c>
      <c r="AB17" s="100">
        <f>Z17/AA17</f>
        <v>1.0399074505865051</v>
      </c>
      <c r="AC17" s="98">
        <f>V17*M17/100/K17*100/7</f>
        <v>10.780196078431374</v>
      </c>
      <c r="AD17" s="98">
        <f>AC17*AB17</f>
        <v>11.210406220744209</v>
      </c>
      <c r="AE17" s="98"/>
      <c r="AF17" s="98"/>
      <c r="AG17" s="98"/>
      <c r="AH17" s="98"/>
      <c r="AI17" s="98"/>
      <c r="AJ17" s="98">
        <f>AD17</f>
        <v>11.210406220744209</v>
      </c>
      <c r="AK17" s="98">
        <v>11.210406220744209</v>
      </c>
      <c r="AL17" s="98">
        <v>11.210406220744209</v>
      </c>
      <c r="AM17" s="98">
        <v>11.210406220744209</v>
      </c>
      <c r="AN17" s="98">
        <v>11.210406220744209</v>
      </c>
      <c r="AO17" s="98">
        <v>11.210406220744209</v>
      </c>
      <c r="AP17" s="98">
        <v>11.210406220744209</v>
      </c>
      <c r="AQ17" s="98">
        <f>SUM(AE17:AP17)+X17</f>
        <v>383.87284354520943</v>
      </c>
      <c r="AR17" s="116">
        <f>V17-AQ17</f>
        <v>715.70715645479049</v>
      </c>
    </row>
    <row r="18" spans="1:44" s="22" customFormat="1" x14ac:dyDescent="0.2">
      <c r="A18" s="29" t="s">
        <v>160</v>
      </c>
      <c r="B18" s="13" t="s">
        <v>41</v>
      </c>
      <c r="C18" s="87" t="s">
        <v>495</v>
      </c>
      <c r="D18" s="101">
        <v>3</v>
      </c>
      <c r="E18" s="48">
        <v>0.33329999999999999</v>
      </c>
      <c r="F18" s="88">
        <v>42185</v>
      </c>
      <c r="G18" s="101">
        <v>120</v>
      </c>
      <c r="H18" s="201">
        <f>100/G18</f>
        <v>0.83333333333333337</v>
      </c>
      <c r="I18" s="233">
        <f t="shared" ref="I18" si="3">H18*J18</f>
        <v>21.666666666666668</v>
      </c>
      <c r="J18" s="90">
        <f>(YEAR(F18)-YEAR(S18))*12+MONTH(F18)-MONTH(S18)</f>
        <v>26</v>
      </c>
      <c r="K18" s="233">
        <f>L18*H18</f>
        <v>78.333333333333343</v>
      </c>
      <c r="L18" s="90">
        <f>G18-J18</f>
        <v>94</v>
      </c>
      <c r="M18" s="233">
        <f>N18*H18</f>
        <v>5.8333333333333339</v>
      </c>
      <c r="N18" s="90">
        <v>7</v>
      </c>
      <c r="O18" s="233">
        <f t="shared" ref="O18:P18" si="4">K18-M18</f>
        <v>72.500000000000014</v>
      </c>
      <c r="P18" s="90">
        <f t="shared" si="4"/>
        <v>87</v>
      </c>
      <c r="Q18" s="90"/>
      <c r="R18" s="88" t="s">
        <v>595</v>
      </c>
      <c r="S18" s="52">
        <v>41365</v>
      </c>
      <c r="T18" s="9">
        <v>198</v>
      </c>
      <c r="U18" s="209"/>
      <c r="V18" s="222">
        <v>55.01</v>
      </c>
      <c r="W18" s="89"/>
      <c r="X18" s="152">
        <v>27.5</v>
      </c>
      <c r="Y18" s="233">
        <v>0</v>
      </c>
      <c r="Z18" s="100">
        <v>115.958</v>
      </c>
      <c r="AA18" s="195">
        <v>109.074</v>
      </c>
      <c r="AB18" s="100">
        <f>Z18/AA18</f>
        <v>1.0631131158662925</v>
      </c>
      <c r="AC18" s="98">
        <f>V18*M18/100/K18*100/7</f>
        <v>0.58521276595744687</v>
      </c>
      <c r="AD18" s="98">
        <f>AC18*AB18</f>
        <v>0.62214736706175278</v>
      </c>
      <c r="AE18" s="98"/>
      <c r="AF18" s="98"/>
      <c r="AG18" s="98"/>
      <c r="AH18" s="98"/>
      <c r="AI18" s="98"/>
      <c r="AJ18" s="98">
        <f>AD18</f>
        <v>0.62214736706175278</v>
      </c>
      <c r="AK18" s="98">
        <v>0.62214736706175278</v>
      </c>
      <c r="AL18" s="98">
        <v>0.62214736706175278</v>
      </c>
      <c r="AM18" s="98">
        <v>0.62214736706175278</v>
      </c>
      <c r="AN18" s="98">
        <v>0.62214736706175278</v>
      </c>
      <c r="AO18" s="98">
        <v>0.62214736706175278</v>
      </c>
      <c r="AP18" s="98">
        <v>0.62214736706175278</v>
      </c>
      <c r="AQ18" s="98">
        <f>SUM(AE18:AP18)+X18</f>
        <v>31.855031569432271</v>
      </c>
      <c r="AR18" s="116">
        <f>V18-AQ18</f>
        <v>23.154968430567727</v>
      </c>
    </row>
    <row r="19" spans="1:44" s="22" customFormat="1" x14ac:dyDescent="0.2">
      <c r="A19" s="172" t="s">
        <v>86</v>
      </c>
      <c r="B19" s="145"/>
      <c r="C19" s="178"/>
      <c r="D19" s="157"/>
      <c r="E19" s="157"/>
      <c r="F19" s="88"/>
      <c r="G19" s="101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88"/>
      <c r="S19" s="171"/>
      <c r="T19" s="11"/>
      <c r="U19" s="209"/>
      <c r="V19" s="222"/>
      <c r="W19" s="89"/>
      <c r="X19" s="152"/>
      <c r="Y19" s="233"/>
      <c r="Z19" s="100"/>
      <c r="AA19" s="196"/>
      <c r="AB19" s="100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116"/>
    </row>
    <row r="20" spans="1:44" s="22" customFormat="1" x14ac:dyDescent="0.2">
      <c r="A20" s="171" t="s">
        <v>204</v>
      </c>
      <c r="B20" s="145" t="s">
        <v>497</v>
      </c>
      <c r="C20" s="87" t="s">
        <v>495</v>
      </c>
      <c r="D20" s="101">
        <v>10</v>
      </c>
      <c r="E20" s="184">
        <v>0.1</v>
      </c>
      <c r="F20" s="88">
        <v>42185</v>
      </c>
      <c r="G20" s="101">
        <v>120</v>
      </c>
      <c r="H20" s="201">
        <f>100/G20</f>
        <v>0.83333333333333337</v>
      </c>
      <c r="I20" s="233">
        <f t="shared" ref="I20" si="5">H20*J20</f>
        <v>20</v>
      </c>
      <c r="J20" s="90">
        <f>(YEAR(F20)-YEAR(S20))*12+MONTH(F20)-MONTH(S20)</f>
        <v>24</v>
      </c>
      <c r="K20" s="233">
        <f>L20*H20</f>
        <v>80</v>
      </c>
      <c r="L20" s="90">
        <f>G20-J20</f>
        <v>96</v>
      </c>
      <c r="M20" s="233">
        <f>N20*H20</f>
        <v>5.8333333333333339</v>
      </c>
      <c r="N20" s="90">
        <v>7</v>
      </c>
      <c r="O20" s="233">
        <f t="shared" ref="O20" si="6">K20-M20</f>
        <v>74.166666666666671</v>
      </c>
      <c r="P20" s="90">
        <f t="shared" ref="P20" si="7">L20-N20</f>
        <v>89</v>
      </c>
      <c r="Q20" s="90"/>
      <c r="R20" s="88" t="s">
        <v>595</v>
      </c>
      <c r="S20" s="182">
        <v>41426</v>
      </c>
      <c r="T20" s="11">
        <v>595</v>
      </c>
      <c r="U20" s="209"/>
      <c r="V20" s="222">
        <v>475.98</v>
      </c>
      <c r="W20" s="89"/>
      <c r="X20" s="152">
        <v>24.8</v>
      </c>
      <c r="Y20" s="233">
        <v>0</v>
      </c>
      <c r="Z20" s="100">
        <v>115.958</v>
      </c>
      <c r="AA20" s="129">
        <v>12.256</v>
      </c>
      <c r="AB20" s="100">
        <f>Z20/AA20</f>
        <v>9.461325065274151</v>
      </c>
      <c r="AC20" s="98">
        <f>V20*M20/100/K20*100/7</f>
        <v>4.9581250000000008</v>
      </c>
      <c r="AD20" s="98">
        <f>AC20*AB20</f>
        <v>46.910432339262407</v>
      </c>
      <c r="AE20" s="98"/>
      <c r="AF20" s="98"/>
      <c r="AG20" s="98"/>
      <c r="AH20" s="98"/>
      <c r="AI20" s="98"/>
      <c r="AJ20" s="98">
        <f>AD20</f>
        <v>46.910432339262407</v>
      </c>
      <c r="AK20" s="98">
        <v>46.910432339262407</v>
      </c>
      <c r="AL20" s="98">
        <v>46.910432339262407</v>
      </c>
      <c r="AM20" s="98">
        <v>46.910432339262407</v>
      </c>
      <c r="AN20" s="98">
        <v>46.910432339262407</v>
      </c>
      <c r="AO20" s="98">
        <v>46.910432339262407</v>
      </c>
      <c r="AP20" s="98">
        <v>46.910432339262407</v>
      </c>
      <c r="AQ20" s="98">
        <f>SUM(AE20:AP20)+X20</f>
        <v>353.17302637483687</v>
      </c>
      <c r="AR20" s="116">
        <f>V20-AQ20</f>
        <v>122.80697362516315</v>
      </c>
    </row>
    <row r="21" spans="1:44" s="22" customFormat="1" x14ac:dyDescent="0.2">
      <c r="A21" s="41" t="s">
        <v>74</v>
      </c>
      <c r="B21" s="41" t="s">
        <v>28</v>
      </c>
      <c r="C21" s="87"/>
      <c r="D21" s="101"/>
      <c r="E21" s="6"/>
      <c r="F21" s="88"/>
      <c r="G21" s="101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88"/>
      <c r="S21" s="30"/>
      <c r="T21" s="169"/>
      <c r="U21" s="211"/>
      <c r="V21" s="222"/>
      <c r="W21" s="89"/>
      <c r="X21" s="152"/>
      <c r="Y21" s="233"/>
      <c r="Z21" s="100"/>
      <c r="AA21" s="129"/>
      <c r="AB21" s="100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116"/>
    </row>
    <row r="22" spans="1:44" s="22" customFormat="1" x14ac:dyDescent="0.2">
      <c r="A22" s="41" t="s">
        <v>80</v>
      </c>
      <c r="B22" s="46"/>
      <c r="C22" s="87"/>
      <c r="D22" s="101"/>
      <c r="E22" s="42"/>
      <c r="F22" s="88"/>
      <c r="G22" s="101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88"/>
      <c r="S22" s="30"/>
      <c r="T22" s="169"/>
      <c r="U22" s="211"/>
      <c r="V22" s="222"/>
      <c r="W22" s="89"/>
      <c r="X22" s="152"/>
      <c r="Y22" s="233"/>
      <c r="Z22" s="100"/>
      <c r="AA22" s="129"/>
      <c r="AB22" s="100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116"/>
    </row>
    <row r="23" spans="1:44" s="22" customFormat="1" x14ac:dyDescent="0.2">
      <c r="A23" s="8" t="s">
        <v>161</v>
      </c>
      <c r="B23" s="13" t="s">
        <v>55</v>
      </c>
      <c r="C23" s="87" t="s">
        <v>495</v>
      </c>
      <c r="D23" s="101">
        <v>10</v>
      </c>
      <c r="E23" s="38">
        <v>0.1</v>
      </c>
      <c r="F23" s="88">
        <v>42185</v>
      </c>
      <c r="G23" s="101">
        <v>120</v>
      </c>
      <c r="H23" s="201">
        <f>100/G23</f>
        <v>0.83333333333333337</v>
      </c>
      <c r="I23" s="233">
        <f t="shared" ref="I23" si="8">H23*J23</f>
        <v>18.333333333333336</v>
      </c>
      <c r="J23" s="90">
        <f>(YEAR(F23)-YEAR(S23))*12+MONTH(F23)-MONTH(S23)</f>
        <v>22</v>
      </c>
      <c r="K23" s="233">
        <f>L23*H23</f>
        <v>81.666666666666671</v>
      </c>
      <c r="L23" s="90">
        <f>G23-J23</f>
        <v>98</v>
      </c>
      <c r="M23" s="233">
        <f>N23*H23</f>
        <v>5.8333333333333339</v>
      </c>
      <c r="N23" s="90">
        <v>7</v>
      </c>
      <c r="O23" s="233">
        <f t="shared" ref="O23" si="9">K23-M23</f>
        <v>75.833333333333343</v>
      </c>
      <c r="P23" s="90">
        <f t="shared" ref="P23" si="10">L23-N23</f>
        <v>91</v>
      </c>
      <c r="Q23" s="90"/>
      <c r="R23" s="88" t="s">
        <v>595</v>
      </c>
      <c r="S23" s="29">
        <v>41487</v>
      </c>
      <c r="T23" s="9">
        <v>350</v>
      </c>
      <c r="U23" s="209"/>
      <c r="V23" s="222">
        <v>285.8</v>
      </c>
      <c r="W23" s="89"/>
      <c r="X23" s="152">
        <v>14.6</v>
      </c>
      <c r="Y23" s="233">
        <v>0</v>
      </c>
      <c r="Z23" s="100">
        <v>115.958</v>
      </c>
      <c r="AA23" s="129">
        <v>108.91800000000001</v>
      </c>
      <c r="AB23" s="100">
        <f>Z23/AA23</f>
        <v>1.0646357810462916</v>
      </c>
      <c r="AC23" s="98">
        <f>V23*M23/100/K23*100/7</f>
        <v>2.9163265306122454</v>
      </c>
      <c r="AD23" s="98">
        <f>AC23*AB23</f>
        <v>3.1048255737043897</v>
      </c>
      <c r="AE23" s="98"/>
      <c r="AF23" s="98"/>
      <c r="AG23" s="98"/>
      <c r="AH23" s="98"/>
      <c r="AI23" s="98"/>
      <c r="AJ23" s="98">
        <f>AD23</f>
        <v>3.1048255737043897</v>
      </c>
      <c r="AK23" s="98">
        <v>3.1048255737043897</v>
      </c>
      <c r="AL23" s="98">
        <v>3.1048255737043897</v>
      </c>
      <c r="AM23" s="98">
        <v>3.1048255737043897</v>
      </c>
      <c r="AN23" s="98">
        <v>3.1048255737043897</v>
      </c>
      <c r="AO23" s="98">
        <v>3.1048255737043897</v>
      </c>
      <c r="AP23" s="98">
        <v>3.1048255737043897</v>
      </c>
      <c r="AQ23" s="98">
        <f>SUM(AE23:AP23)+X23</f>
        <v>36.333779015930723</v>
      </c>
      <c r="AR23" s="116">
        <f>V23-AQ23</f>
        <v>249.46622098406928</v>
      </c>
    </row>
    <row r="24" spans="1:44" s="22" customFormat="1" x14ac:dyDescent="0.2">
      <c r="A24" s="41" t="s">
        <v>370</v>
      </c>
      <c r="B24" s="41" t="s">
        <v>164</v>
      </c>
      <c r="C24" s="87"/>
      <c r="D24" s="101"/>
      <c r="E24" s="48"/>
      <c r="F24" s="88"/>
      <c r="G24" s="101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52"/>
      <c r="T24" s="9"/>
      <c r="U24" s="209"/>
      <c r="V24" s="222"/>
      <c r="W24" s="89"/>
      <c r="X24" s="152"/>
      <c r="Y24" s="110"/>
      <c r="Z24" s="100"/>
      <c r="AA24" s="129"/>
      <c r="AB24" s="100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116"/>
    </row>
    <row r="25" spans="1:44" s="22" customFormat="1" x14ac:dyDescent="0.2">
      <c r="A25" s="41" t="s">
        <v>371</v>
      </c>
      <c r="B25" s="13"/>
      <c r="C25" s="87"/>
      <c r="D25" s="101"/>
      <c r="E25" s="48"/>
      <c r="F25" s="88"/>
      <c r="G25" s="101"/>
      <c r="H25" s="201"/>
      <c r="I25" s="233"/>
      <c r="J25" s="90"/>
      <c r="K25" s="233"/>
      <c r="L25" s="90"/>
      <c r="M25" s="233"/>
      <c r="N25" s="90"/>
      <c r="O25" s="233"/>
      <c r="P25" s="90"/>
      <c r="Q25" s="90"/>
      <c r="R25" s="179"/>
      <c r="S25" s="52"/>
      <c r="T25" s="9"/>
      <c r="U25" s="209"/>
      <c r="V25" s="222"/>
      <c r="W25" s="89"/>
      <c r="X25" s="152"/>
      <c r="Y25" s="110"/>
      <c r="Z25" s="100"/>
      <c r="AA25" s="197"/>
      <c r="AB25" s="100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116"/>
    </row>
    <row r="26" spans="1:44" s="22" customFormat="1" x14ac:dyDescent="0.2">
      <c r="A26" s="29" t="s">
        <v>372</v>
      </c>
      <c r="B26" s="13" t="s">
        <v>162</v>
      </c>
      <c r="C26" s="87" t="s">
        <v>495</v>
      </c>
      <c r="D26" s="101">
        <v>10</v>
      </c>
      <c r="E26" s="38">
        <v>0.1</v>
      </c>
      <c r="F26" s="88">
        <v>42185</v>
      </c>
      <c r="G26" s="101">
        <v>120</v>
      </c>
      <c r="H26" s="201">
        <f>100/G26</f>
        <v>0.83333333333333337</v>
      </c>
      <c r="I26" s="233">
        <f t="shared" ref="I26" si="11">H26*J26</f>
        <v>14.166666666666668</v>
      </c>
      <c r="J26" s="90">
        <f>(YEAR(F26)-YEAR(S26))*12+MONTH(F26)-MONTH(S26)</f>
        <v>17</v>
      </c>
      <c r="K26" s="233">
        <f>L26*H26</f>
        <v>85.833333333333343</v>
      </c>
      <c r="L26" s="90">
        <f>G26-J26</f>
        <v>103</v>
      </c>
      <c r="M26" s="233">
        <f>N26*H26</f>
        <v>5.8333333333333339</v>
      </c>
      <c r="N26" s="90">
        <v>7</v>
      </c>
      <c r="O26" s="233">
        <f t="shared" ref="O26" si="12">K26-M26</f>
        <v>80.000000000000014</v>
      </c>
      <c r="P26" s="90">
        <f t="shared" ref="P26" si="13">L26-N26</f>
        <v>96</v>
      </c>
      <c r="Q26" s="90"/>
      <c r="R26" s="88" t="s">
        <v>595</v>
      </c>
      <c r="S26" s="52">
        <v>41640</v>
      </c>
      <c r="T26" s="9">
        <v>300</v>
      </c>
      <c r="U26" s="209"/>
      <c r="V26" s="222">
        <v>257.5</v>
      </c>
      <c r="W26" s="89"/>
      <c r="X26" s="152">
        <v>12.5</v>
      </c>
      <c r="Y26" s="233">
        <v>0</v>
      </c>
      <c r="Z26" s="100">
        <v>115.958</v>
      </c>
      <c r="AA26" s="129">
        <v>112.505</v>
      </c>
      <c r="AB26" s="100">
        <f>Z26/AA26</f>
        <v>1.0306919692458114</v>
      </c>
      <c r="AC26" s="98">
        <f>V26*M26/100/K26*100/7</f>
        <v>2.5</v>
      </c>
      <c r="AD26" s="98">
        <f>AC26*AB26</f>
        <v>2.5767299231145286</v>
      </c>
      <c r="AE26" s="98"/>
      <c r="AF26" s="98"/>
      <c r="AG26" s="98"/>
      <c r="AH26" s="98"/>
      <c r="AI26" s="98"/>
      <c r="AJ26" s="98">
        <f>AD26</f>
        <v>2.5767299231145286</v>
      </c>
      <c r="AK26" s="98">
        <v>2.5767299231145286</v>
      </c>
      <c r="AL26" s="98">
        <v>2.5767299231145286</v>
      </c>
      <c r="AM26" s="98">
        <v>2.5767299231145286</v>
      </c>
      <c r="AN26" s="98">
        <v>2.5767299231145286</v>
      </c>
      <c r="AO26" s="98">
        <v>2.5767299231145286</v>
      </c>
      <c r="AP26" s="98">
        <v>2.5767299231145286</v>
      </c>
      <c r="AQ26" s="98">
        <f>SUM(AE26:AP26)+X26</f>
        <v>30.537109461801702</v>
      </c>
      <c r="AR26" s="116">
        <f>V26-AQ26</f>
        <v>226.96289053819831</v>
      </c>
    </row>
    <row r="27" spans="1:44" s="22" customFormat="1" x14ac:dyDescent="0.2">
      <c r="A27" s="41" t="s">
        <v>163</v>
      </c>
      <c r="B27" s="41" t="s">
        <v>94</v>
      </c>
      <c r="C27" s="87"/>
      <c r="D27" s="101"/>
      <c r="E27" s="38"/>
      <c r="F27" s="88"/>
      <c r="G27" s="101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9"/>
      <c r="S27" s="52"/>
      <c r="T27" s="9"/>
      <c r="U27" s="209"/>
      <c r="V27" s="222"/>
      <c r="W27" s="89"/>
      <c r="X27" s="152"/>
      <c r="Y27" s="110"/>
      <c r="Z27" s="100"/>
      <c r="AA27" s="129"/>
      <c r="AB27" s="100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116"/>
    </row>
    <row r="28" spans="1:44" s="22" customFormat="1" x14ac:dyDescent="0.2">
      <c r="A28" s="41" t="s">
        <v>165</v>
      </c>
      <c r="B28" s="13"/>
      <c r="C28" s="87"/>
      <c r="D28" s="101"/>
      <c r="E28" s="38"/>
      <c r="F28" s="88"/>
      <c r="G28" s="101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24"/>
      <c r="S28" s="52"/>
      <c r="T28" s="9"/>
      <c r="U28" s="212"/>
      <c r="V28" s="224"/>
      <c r="W28" s="18"/>
      <c r="X28" s="152"/>
      <c r="Y28" s="110"/>
      <c r="Z28" s="100"/>
      <c r="AA28" s="125"/>
      <c r="AB28" s="100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116"/>
    </row>
    <row r="29" spans="1:44" s="22" customFormat="1" x14ac:dyDescent="0.2">
      <c r="A29" s="29" t="s">
        <v>166</v>
      </c>
      <c r="B29" s="13" t="s">
        <v>53</v>
      </c>
      <c r="C29" s="87" t="s">
        <v>495</v>
      </c>
      <c r="D29" s="101">
        <v>10</v>
      </c>
      <c r="E29" s="38">
        <v>0.1</v>
      </c>
      <c r="F29" s="88">
        <v>42185</v>
      </c>
      <c r="G29" s="101">
        <v>120</v>
      </c>
      <c r="H29" s="201">
        <f>100/G29</f>
        <v>0.83333333333333337</v>
      </c>
      <c r="I29" s="233">
        <f t="shared" ref="I29" si="14">H29*J29</f>
        <v>24.166666666666668</v>
      </c>
      <c r="J29" s="90">
        <f>(YEAR(F29)-YEAR(S29))*12+MONTH(F29)-MONTH(S29)</f>
        <v>29</v>
      </c>
      <c r="K29" s="233">
        <f>L29*H29</f>
        <v>75.833333333333343</v>
      </c>
      <c r="L29" s="90">
        <f>G29-J29</f>
        <v>91</v>
      </c>
      <c r="M29" s="233">
        <f>N29*H29</f>
        <v>5.8333333333333339</v>
      </c>
      <c r="N29" s="90">
        <v>7</v>
      </c>
      <c r="O29" s="233">
        <f t="shared" ref="O29" si="15">K29-M29</f>
        <v>70.000000000000014</v>
      </c>
      <c r="P29" s="90">
        <f t="shared" ref="P29" si="16">L29-N29</f>
        <v>84</v>
      </c>
      <c r="Q29" s="90"/>
      <c r="R29" s="88" t="s">
        <v>595</v>
      </c>
      <c r="S29" s="52">
        <v>41275</v>
      </c>
      <c r="T29" s="9">
        <v>499</v>
      </c>
      <c r="U29" s="209"/>
      <c r="V29" s="222">
        <v>378.39</v>
      </c>
      <c r="W29" s="89"/>
      <c r="X29" s="152">
        <v>20.8</v>
      </c>
      <c r="Y29" s="233">
        <v>0</v>
      </c>
      <c r="Z29" s="100">
        <v>115.958</v>
      </c>
      <c r="AA29" s="125">
        <v>107.678</v>
      </c>
      <c r="AB29" s="100">
        <f>Z29/AA29</f>
        <v>1.0768959304593324</v>
      </c>
      <c r="AC29" s="98">
        <f>V29*M29/100/K29*100/7</f>
        <v>4.1581318681318677</v>
      </c>
      <c r="AD29" s="98">
        <f>AC29*AB29</f>
        <v>4.47787528710447</v>
      </c>
      <c r="AE29" s="98"/>
      <c r="AF29" s="98"/>
      <c r="AG29" s="98"/>
      <c r="AH29" s="98"/>
      <c r="AI29" s="98"/>
      <c r="AJ29" s="98">
        <f>AD29</f>
        <v>4.47787528710447</v>
      </c>
      <c r="AK29" s="98">
        <v>4.47787528710447</v>
      </c>
      <c r="AL29" s="98">
        <v>4.47787528710447</v>
      </c>
      <c r="AM29" s="98">
        <v>4.47787528710447</v>
      </c>
      <c r="AN29" s="98">
        <v>4.47787528710447</v>
      </c>
      <c r="AO29" s="98">
        <v>4.47787528710447</v>
      </c>
      <c r="AP29" s="98">
        <v>4.47787528710447</v>
      </c>
      <c r="AQ29" s="98">
        <f>SUM(AE29:AP29)+X29</f>
        <v>52.145127009731297</v>
      </c>
      <c r="AR29" s="116">
        <f>V29-AQ29</f>
        <v>326.24487299026868</v>
      </c>
    </row>
    <row r="30" spans="1:44" s="22" customFormat="1" x14ac:dyDescent="0.2">
      <c r="A30" s="41" t="s">
        <v>331</v>
      </c>
      <c r="B30" s="41" t="s">
        <v>94</v>
      </c>
      <c r="C30" s="87"/>
      <c r="D30" s="101"/>
      <c r="E30" s="38"/>
      <c r="F30" s="88"/>
      <c r="G30" s="101"/>
      <c r="H30" s="201"/>
      <c r="I30" s="233"/>
      <c r="J30" s="90"/>
      <c r="K30" s="233"/>
      <c r="L30" s="90"/>
      <c r="M30" s="233"/>
      <c r="N30" s="90"/>
      <c r="O30" s="233"/>
      <c r="P30" s="90"/>
      <c r="Q30" s="90"/>
      <c r="R30" s="171"/>
      <c r="S30" s="52"/>
      <c r="T30" s="9"/>
      <c r="U30" s="209"/>
      <c r="V30" s="222"/>
      <c r="W30" s="89"/>
      <c r="X30" s="152"/>
      <c r="Y30" s="110"/>
      <c r="Z30" s="100"/>
      <c r="AA30" s="125"/>
      <c r="AB30" s="100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116"/>
    </row>
    <row r="31" spans="1:44" s="22" customFormat="1" x14ac:dyDescent="0.2">
      <c r="A31" s="41" t="s">
        <v>332</v>
      </c>
      <c r="B31" s="13"/>
      <c r="C31" s="87"/>
      <c r="D31" s="101"/>
      <c r="E31" s="38"/>
      <c r="F31" s="88"/>
      <c r="G31" s="101"/>
      <c r="H31" s="201"/>
      <c r="I31" s="233"/>
      <c r="J31" s="90"/>
      <c r="K31" s="233"/>
      <c r="L31" s="90"/>
      <c r="M31" s="233"/>
      <c r="N31" s="90"/>
      <c r="O31" s="233"/>
      <c r="P31" s="90"/>
      <c r="Q31" s="90"/>
      <c r="R31" s="179"/>
      <c r="S31" s="52"/>
      <c r="T31" s="9"/>
      <c r="U31" s="209"/>
      <c r="V31" s="222"/>
      <c r="W31" s="89"/>
      <c r="X31" s="152"/>
      <c r="Y31" s="110"/>
      <c r="Z31" s="100"/>
      <c r="AA31" s="125"/>
      <c r="AB31" s="100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116"/>
    </row>
    <row r="32" spans="1:44" s="22" customFormat="1" x14ac:dyDescent="0.2">
      <c r="A32" s="29" t="s">
        <v>333</v>
      </c>
      <c r="B32" s="13" t="s">
        <v>334</v>
      </c>
      <c r="C32" s="87" t="s">
        <v>495</v>
      </c>
      <c r="D32" s="101">
        <v>10</v>
      </c>
      <c r="E32" s="38">
        <v>0.1</v>
      </c>
      <c r="F32" s="88">
        <v>42185</v>
      </c>
      <c r="G32" s="101">
        <v>120</v>
      </c>
      <c r="H32" s="201">
        <f>100/G32</f>
        <v>0.83333333333333337</v>
      </c>
      <c r="I32" s="233">
        <f t="shared" ref="I32" si="17">H32*J32</f>
        <v>9.1666666666666679</v>
      </c>
      <c r="J32" s="90">
        <f>(YEAR(F32)-YEAR(S32))*12+MONTH(F32)-MONTH(S32)</f>
        <v>11</v>
      </c>
      <c r="K32" s="233">
        <f>L32*H32</f>
        <v>90.833333333333343</v>
      </c>
      <c r="L32" s="90">
        <f>G32-J32</f>
        <v>109</v>
      </c>
      <c r="M32" s="233">
        <f>N32*H32</f>
        <v>5.8333333333333339</v>
      </c>
      <c r="N32" s="90">
        <v>7</v>
      </c>
      <c r="O32" s="233">
        <f t="shared" ref="O32" si="18">K32-M32</f>
        <v>85.000000000000014</v>
      </c>
      <c r="P32" s="90">
        <f t="shared" ref="P32" si="19">L32-N32</f>
        <v>102</v>
      </c>
      <c r="Q32" s="90"/>
      <c r="R32" s="88" t="s">
        <v>727</v>
      </c>
      <c r="S32" s="52">
        <v>41838</v>
      </c>
      <c r="T32" s="9">
        <v>2088</v>
      </c>
      <c r="U32" s="209"/>
      <c r="V32" s="222">
        <v>1792.2</v>
      </c>
      <c r="W32" s="89"/>
      <c r="X32" s="152">
        <v>87</v>
      </c>
      <c r="Y32" s="233">
        <v>0</v>
      </c>
      <c r="Z32" s="100">
        <v>115.958</v>
      </c>
      <c r="AA32" s="125">
        <v>113.032</v>
      </c>
      <c r="AB32" s="100">
        <f>Z32/AA32</f>
        <v>1.0258864746266545</v>
      </c>
      <c r="AC32" s="98">
        <f>V32*M32/100/K32*100/7</f>
        <v>16.442201834862384</v>
      </c>
      <c r="AD32" s="98">
        <f>AC32*AB32</f>
        <v>16.86783247546688</v>
      </c>
      <c r="AE32" s="98"/>
      <c r="AF32" s="98"/>
      <c r="AG32" s="98"/>
      <c r="AH32" s="98"/>
      <c r="AI32" s="98"/>
      <c r="AJ32" s="98">
        <f>AD32</f>
        <v>16.86783247546688</v>
      </c>
      <c r="AK32" s="98">
        <v>16.86783247546688</v>
      </c>
      <c r="AL32" s="98">
        <v>16.86783247546688</v>
      </c>
      <c r="AM32" s="98">
        <v>16.86783247546688</v>
      </c>
      <c r="AN32" s="98">
        <v>16.86783247546688</v>
      </c>
      <c r="AO32" s="98">
        <v>16.86783247546688</v>
      </c>
      <c r="AP32" s="98">
        <v>16.86783247546688</v>
      </c>
      <c r="AQ32" s="98">
        <f>SUM(AE32:AP32)+X32</f>
        <v>205.07482732826816</v>
      </c>
      <c r="AR32" s="116">
        <f>V32-AQ32</f>
        <v>1587.1251726717319</v>
      </c>
    </row>
    <row r="33" spans="1:44" x14ac:dyDescent="0.2">
      <c r="R33" s="243"/>
      <c r="X33" s="309"/>
      <c r="AC33" s="263"/>
      <c r="AD33" s="263"/>
      <c r="AE33" s="263">
        <f t="shared" ref="AE33:AJ33" si="20">SUM(AE15:AE32)</f>
        <v>0</v>
      </c>
      <c r="AF33" s="263">
        <f t="shared" si="20"/>
        <v>0</v>
      </c>
      <c r="AG33" s="263">
        <f t="shared" si="20"/>
        <v>0</v>
      </c>
      <c r="AH33" s="263">
        <f t="shared" si="20"/>
        <v>0</v>
      </c>
      <c r="AI33" s="263">
        <f t="shared" si="20"/>
        <v>0</v>
      </c>
      <c r="AJ33" s="263">
        <f t="shared" si="20"/>
        <v>86.867404541460644</v>
      </c>
      <c r="AK33" s="263"/>
      <c r="AL33" s="263"/>
      <c r="AM33" s="263"/>
      <c r="AN33" s="263"/>
      <c r="AO33" s="263">
        <v>0</v>
      </c>
      <c r="AP33" s="263">
        <f t="shared" ref="AP33:AQ33" si="21">SUM(AP15:AP32)</f>
        <v>86.867404541460644</v>
      </c>
      <c r="AQ33" s="263">
        <f t="shared" si="21"/>
        <v>1149.1218317902244</v>
      </c>
      <c r="AR33" s="263">
        <f>SUM(AR15:AR32)</f>
        <v>3292.3481682097754</v>
      </c>
    </row>
    <row r="34" spans="1:44" s="150" customFormat="1" x14ac:dyDescent="0.2">
      <c r="A34" s="156" t="s">
        <v>460</v>
      </c>
      <c r="B34" s="132"/>
      <c r="C34" s="132"/>
      <c r="D34" s="133"/>
      <c r="E34" s="133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4"/>
      <c r="S34" s="134"/>
      <c r="T34" s="135"/>
      <c r="U34" s="135"/>
      <c r="V34" s="135"/>
      <c r="W34" s="135"/>
      <c r="Y34"/>
      <c r="Z34"/>
      <c r="AA34" s="121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 s="113"/>
    </row>
    <row r="35" spans="1:44" s="150" customFormat="1" x14ac:dyDescent="0.2">
      <c r="A35" s="310" t="s">
        <v>719</v>
      </c>
      <c r="B35" s="311"/>
      <c r="C35" s="311"/>
      <c r="D35" s="312"/>
      <c r="E35" s="312"/>
      <c r="F35"/>
      <c r="G35"/>
      <c r="H35"/>
      <c r="I35"/>
      <c r="J35"/>
      <c r="K35"/>
      <c r="L35"/>
      <c r="M35"/>
      <c r="N35"/>
      <c r="O35"/>
      <c r="P35"/>
      <c r="Q35"/>
      <c r="R35" s="28"/>
      <c r="S35" s="28"/>
      <c r="T35" s="16"/>
      <c r="U35" s="16"/>
      <c r="V35" s="16"/>
      <c r="W35" s="16"/>
      <c r="Y35"/>
      <c r="Z35"/>
      <c r="AA35" s="121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 s="113"/>
    </row>
    <row r="36" spans="1:44" ht="30.75" hidden="1" customHeight="1" x14ac:dyDescent="0.2">
      <c r="A36" s="568" t="s">
        <v>613</v>
      </c>
      <c r="B36" s="568"/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68"/>
      <c r="AA36" s="239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</row>
    <row r="37" spans="1:44" hidden="1" x14ac:dyDescent="0.2">
      <c r="A37" s="568"/>
      <c r="B37" s="568"/>
      <c r="C37" s="568"/>
      <c r="D37" s="568"/>
      <c r="E37" s="568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</row>
    <row r="39" spans="1:44" x14ac:dyDescent="0.2">
      <c r="AA39"/>
      <c r="AQ39" s="150"/>
    </row>
  </sheetData>
  <mergeCells count="25">
    <mergeCell ref="D10:P10"/>
    <mergeCell ref="R10:T10"/>
    <mergeCell ref="V10:AR10"/>
    <mergeCell ref="A11:A12"/>
    <mergeCell ref="B11:B12"/>
    <mergeCell ref="E11:E12"/>
    <mergeCell ref="F11:F12"/>
    <mergeCell ref="G11:G12"/>
    <mergeCell ref="H11:H12"/>
    <mergeCell ref="I11:I12"/>
    <mergeCell ref="AC11:AC12"/>
    <mergeCell ref="AD11:AD12"/>
    <mergeCell ref="A36:Z37"/>
    <mergeCell ref="R11:R12"/>
    <mergeCell ref="S11:S12"/>
    <mergeCell ref="T11:T12"/>
    <mergeCell ref="V11:V12"/>
    <mergeCell ref="X11:X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78"/>
  <sheetViews>
    <sheetView zoomScale="110" zoomScaleNormal="110" workbookViewId="0">
      <selection activeCell="Z75" sqref="Z75:AD78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8" width="8.42578125" hidden="1" customWidth="1"/>
    <col min="39" max="39" width="8.140625" hidden="1" customWidth="1"/>
    <col min="40" max="40" width="8.5703125" hidden="1" customWidth="1"/>
    <col min="41" max="42" width="8.42578125" hidden="1" customWidth="1"/>
    <col min="43" max="43" width="8.42578125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/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501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19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20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17" t="s">
        <v>680</v>
      </c>
      <c r="O11" s="556" t="s">
        <v>643</v>
      </c>
      <c r="P11" s="318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13"/>
      <c r="V11" s="558" t="s">
        <v>746</v>
      </c>
      <c r="W11" s="558" t="s">
        <v>747</v>
      </c>
      <c r="X11" s="31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502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14"/>
      <c r="V12" s="569"/>
      <c r="W12" s="569"/>
      <c r="X12" s="316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68</v>
      </c>
      <c r="B13" s="172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69</v>
      </c>
      <c r="B14" s="180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206" t="s">
        <v>374</v>
      </c>
      <c r="B15" s="146" t="s">
        <v>728</v>
      </c>
      <c r="C15" s="84" t="s">
        <v>502</v>
      </c>
      <c r="D15" s="204">
        <v>3</v>
      </c>
      <c r="E15" s="322">
        <v>0.33329999999999999</v>
      </c>
      <c r="F15" s="83">
        <v>42185</v>
      </c>
      <c r="G15" s="105">
        <v>36</v>
      </c>
      <c r="H15" s="203">
        <f>100/G15</f>
        <v>2.7777777777777777</v>
      </c>
      <c r="I15" s="232">
        <f t="shared" ref="I15" si="0">H15*J15</f>
        <v>230.55555555555554</v>
      </c>
      <c r="J15" s="86">
        <f>(YEAR(F15)-YEAR(S15))*12+MONTH(F15)-MONTH(S15)</f>
        <v>83</v>
      </c>
      <c r="K15" s="232">
        <f>L15*H15</f>
        <v>0</v>
      </c>
      <c r="L15" s="86">
        <v>0</v>
      </c>
      <c r="M15" s="232">
        <f>N15*H15</f>
        <v>0</v>
      </c>
      <c r="N15" s="86">
        <v>0</v>
      </c>
      <c r="O15" s="232">
        <f t="shared" ref="O15" si="1">K15-M15</f>
        <v>0</v>
      </c>
      <c r="P15" s="86">
        <f t="shared" ref="P15" si="2">L15-N15</f>
        <v>0</v>
      </c>
      <c r="Q15" s="86">
        <f t="shared" ref="Q15" si="3">M15-O15</f>
        <v>0</v>
      </c>
      <c r="R15" s="204" t="s">
        <v>595</v>
      </c>
      <c r="S15" s="177">
        <v>39638</v>
      </c>
      <c r="T15" s="205">
        <v>11810.5</v>
      </c>
      <c r="U15" s="115">
        <v>3936.8283333333329</v>
      </c>
      <c r="V15" s="337">
        <v>3936.838333333334</v>
      </c>
      <c r="W15" s="337">
        <f>U15</f>
        <v>3936.8283333333329</v>
      </c>
      <c r="X15" s="85">
        <v>328.07</v>
      </c>
      <c r="Y15" s="151">
        <f>X15*5</f>
        <v>1640.35</v>
      </c>
      <c r="Z15" s="339">
        <f>W15-Y15</f>
        <v>2296.478333333333</v>
      </c>
      <c r="AA15" s="102">
        <v>115.958</v>
      </c>
      <c r="AB15" s="102">
        <v>128.83199999999999</v>
      </c>
      <c r="AC15" s="102">
        <f>AA15/AB15</f>
        <v>0.90007141082960762</v>
      </c>
      <c r="AD15" s="104">
        <f>W15/12</f>
        <v>328.06902777777776</v>
      </c>
      <c r="AE15" s="104">
        <f>AD15*AC15</f>
        <v>295.28555268144214</v>
      </c>
      <c r="AF15" s="104"/>
      <c r="AG15" s="104"/>
      <c r="AH15" s="104"/>
      <c r="AI15" s="104"/>
      <c r="AJ15" s="104"/>
      <c r="AK15" s="104">
        <f>AE15</f>
        <v>295.28555268144214</v>
      </c>
      <c r="AL15" s="104">
        <v>295.28555268144214</v>
      </c>
      <c r="AM15" s="104">
        <v>295.28555268144214</v>
      </c>
      <c r="AN15" s="104">
        <v>295.28555268144214</v>
      </c>
      <c r="AO15" s="104">
        <v>295.28555268144214</v>
      </c>
      <c r="AP15" s="104">
        <v>295.28555268144214</v>
      </c>
      <c r="AQ15" s="104">
        <v>295.28555268144214</v>
      </c>
      <c r="AR15" s="104">
        <f>SUM(AF15:AQ15)</f>
        <v>2066.9988687700952</v>
      </c>
      <c r="AS15" s="115">
        <f>Z15-AR15</f>
        <v>229.4794645632378</v>
      </c>
    </row>
    <row r="16" spans="1:45" s="22" customFormat="1" x14ac:dyDescent="0.2">
      <c r="A16" s="172" t="s">
        <v>68</v>
      </c>
      <c r="B16" s="172" t="s">
        <v>376</v>
      </c>
      <c r="C16" s="87"/>
      <c r="D16" s="179"/>
      <c r="E16" s="181"/>
      <c r="F16" s="88"/>
      <c r="G16" s="101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1"/>
      <c r="S16" s="182"/>
      <c r="T16" s="333"/>
      <c r="U16" s="116"/>
      <c r="V16" s="222"/>
      <c r="W16" s="222"/>
      <c r="X16" s="89"/>
      <c r="Y16" s="152"/>
      <c r="Z16" s="340"/>
      <c r="AA16" s="100"/>
      <c r="AB16" s="195"/>
      <c r="AC16" s="100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116"/>
    </row>
    <row r="17" spans="1:45" s="22" customFormat="1" x14ac:dyDescent="0.2">
      <c r="A17" s="172" t="s">
        <v>375</v>
      </c>
      <c r="B17" s="145"/>
      <c r="C17" s="87"/>
      <c r="D17" s="179"/>
      <c r="E17" s="181"/>
      <c r="F17" s="88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1"/>
      <c r="S17" s="182"/>
      <c r="T17" s="11"/>
      <c r="U17" s="116"/>
      <c r="V17" s="222"/>
      <c r="W17" s="222"/>
      <c r="X17" s="89"/>
      <c r="Y17" s="152"/>
      <c r="Z17" s="340"/>
      <c r="AA17" s="100"/>
      <c r="AB17" s="195"/>
      <c r="AC17" s="100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116"/>
    </row>
    <row r="18" spans="1:45" s="22" customFormat="1" x14ac:dyDescent="0.2">
      <c r="A18" s="171" t="s">
        <v>377</v>
      </c>
      <c r="B18" s="145" t="s">
        <v>376</v>
      </c>
      <c r="C18" s="87" t="s">
        <v>502</v>
      </c>
      <c r="D18" s="179">
        <v>3</v>
      </c>
      <c r="E18" s="181">
        <v>0.33329999999999999</v>
      </c>
      <c r="F18" s="88">
        <v>42185</v>
      </c>
      <c r="G18" s="101">
        <v>36</v>
      </c>
      <c r="H18" s="201">
        <f>100/G18</f>
        <v>2.7777777777777777</v>
      </c>
      <c r="I18" s="233">
        <f t="shared" ref="I18:I19" si="4">H18*J18</f>
        <v>80.555555555555557</v>
      </c>
      <c r="J18" s="90">
        <f>(YEAR(F18)-YEAR(S18))*12+MONTH(F18)-MONTH(S18)</f>
        <v>29</v>
      </c>
      <c r="K18" s="233">
        <f>L18*H18</f>
        <v>19.444444444444443</v>
      </c>
      <c r="L18" s="90">
        <f>G18-J18</f>
        <v>7</v>
      </c>
      <c r="M18" s="233">
        <f>N18*H18</f>
        <v>19.444444444444443</v>
      </c>
      <c r="N18" s="90">
        <v>7</v>
      </c>
      <c r="O18" s="233">
        <f t="shared" ref="O18:O19" si="5">K18-M18</f>
        <v>0</v>
      </c>
      <c r="P18" s="90">
        <f t="shared" ref="P18:P19" si="6">L18-N18</f>
        <v>0</v>
      </c>
      <c r="Q18" s="90">
        <f t="shared" ref="Q18:Q19" si="7">M18-O18</f>
        <v>19.444444444444443</v>
      </c>
      <c r="R18" s="179" t="s">
        <v>595</v>
      </c>
      <c r="S18" s="171">
        <v>41278</v>
      </c>
      <c r="T18" s="11">
        <v>899</v>
      </c>
      <c r="U18" s="116">
        <v>299.72412499999996</v>
      </c>
      <c r="V18" s="222">
        <v>299.63917500000002</v>
      </c>
      <c r="W18" s="222">
        <f>U18</f>
        <v>299.72412499999996</v>
      </c>
      <c r="X18" s="89">
        <v>24.97</v>
      </c>
      <c r="Y18" s="152">
        <f>X18*5</f>
        <v>124.85</v>
      </c>
      <c r="Z18" s="341">
        <f>W18-Y18</f>
        <v>174.87412499999996</v>
      </c>
      <c r="AA18" s="100">
        <v>115.958</v>
      </c>
      <c r="AB18" s="129">
        <v>107.246</v>
      </c>
      <c r="AC18" s="100">
        <f>AA18/AB18</f>
        <v>1.0812337989295639</v>
      </c>
      <c r="AD18" s="98">
        <f>Z18*M18/100/K18*100/7</f>
        <v>24.982017857142854</v>
      </c>
      <c r="AE18" s="98">
        <f>AD18*AC18</f>
        <v>27.011402072604771</v>
      </c>
      <c r="AF18" s="98"/>
      <c r="AG18" s="98"/>
      <c r="AH18" s="98"/>
      <c r="AI18" s="98"/>
      <c r="AJ18" s="98"/>
      <c r="AK18" s="98">
        <f>AE18</f>
        <v>27.011402072604771</v>
      </c>
      <c r="AL18" s="98">
        <v>27.011402072604771</v>
      </c>
      <c r="AM18" s="98">
        <v>27.011402072604771</v>
      </c>
      <c r="AN18" s="98">
        <v>27.011402072604771</v>
      </c>
      <c r="AO18" s="98">
        <v>27.011402072604771</v>
      </c>
      <c r="AP18" s="98">
        <v>27.011402072604771</v>
      </c>
      <c r="AQ18" s="98">
        <v>11.81</v>
      </c>
      <c r="AR18" s="98">
        <f>SUM(AF18:AQ18)</f>
        <v>173.87841243562863</v>
      </c>
      <c r="AS18" s="116">
        <f>Z18-AR18</f>
        <v>0.99571256437133115</v>
      </c>
    </row>
    <row r="19" spans="1:45" s="22" customFormat="1" x14ac:dyDescent="0.2">
      <c r="A19" s="171" t="s">
        <v>377</v>
      </c>
      <c r="B19" s="145" t="s">
        <v>376</v>
      </c>
      <c r="C19" s="87" t="s">
        <v>502</v>
      </c>
      <c r="D19" s="179">
        <v>3</v>
      </c>
      <c r="E19" s="181">
        <v>0.33329999999999999</v>
      </c>
      <c r="F19" s="88">
        <v>42185</v>
      </c>
      <c r="G19" s="101">
        <v>36</v>
      </c>
      <c r="H19" s="201">
        <f>100/G19</f>
        <v>2.7777777777777777</v>
      </c>
      <c r="I19" s="233">
        <f t="shared" si="4"/>
        <v>144.44444444444443</v>
      </c>
      <c r="J19" s="90">
        <f>(YEAR(F19)-YEAR(S19))*12+MONTH(F19)-MONTH(S19)</f>
        <v>52</v>
      </c>
      <c r="K19" s="233">
        <f>L19*H19</f>
        <v>-44.444444444444443</v>
      </c>
      <c r="L19" s="90">
        <f>G19-J19</f>
        <v>-16</v>
      </c>
      <c r="M19" s="233">
        <f>N19*H19</f>
        <v>19.444444444444443</v>
      </c>
      <c r="N19" s="90">
        <v>7</v>
      </c>
      <c r="O19" s="233">
        <f t="shared" si="5"/>
        <v>-63.888888888888886</v>
      </c>
      <c r="P19" s="90">
        <f t="shared" si="6"/>
        <v>-23</v>
      </c>
      <c r="Q19" s="90">
        <f t="shared" si="7"/>
        <v>83.333333333333329</v>
      </c>
      <c r="R19" s="179" t="s">
        <v>595</v>
      </c>
      <c r="S19" s="182">
        <v>40575</v>
      </c>
      <c r="T19" s="11">
        <v>1000</v>
      </c>
      <c r="U19" s="115">
        <v>333.31333333333339</v>
      </c>
      <c r="V19" s="222">
        <v>333.35333333333335</v>
      </c>
      <c r="W19" s="222">
        <f>U19</f>
        <v>333.31333333333339</v>
      </c>
      <c r="X19" s="89">
        <v>27.78</v>
      </c>
      <c r="Y19" s="152">
        <f>X19*5</f>
        <v>138.9</v>
      </c>
      <c r="Z19" s="341">
        <f>W19-Y19</f>
        <v>194.41333333333338</v>
      </c>
      <c r="AA19" s="100">
        <v>115.958</v>
      </c>
      <c r="AB19" s="129">
        <v>100.604</v>
      </c>
      <c r="AC19" s="100">
        <f>AA19/AB19</f>
        <v>1.15261818615562</v>
      </c>
      <c r="AD19" s="98">
        <f>Z19/7</f>
        <v>27.773333333333341</v>
      </c>
      <c r="AE19" s="98">
        <f>AD19*AC19</f>
        <v>32.012049090162094</v>
      </c>
      <c r="AF19" s="98"/>
      <c r="AG19" s="98"/>
      <c r="AH19" s="98"/>
      <c r="AI19" s="98"/>
      <c r="AJ19" s="98"/>
      <c r="AK19" s="98">
        <f>AE19</f>
        <v>32.012049090162094</v>
      </c>
      <c r="AL19" s="98">
        <v>32.012049090162094</v>
      </c>
      <c r="AM19" s="98">
        <v>32.012049090162094</v>
      </c>
      <c r="AN19" s="98">
        <v>32.012049090162094</v>
      </c>
      <c r="AO19" s="98">
        <v>32.012049090162094</v>
      </c>
      <c r="AP19" s="98">
        <v>32.012049090162094</v>
      </c>
      <c r="AQ19" s="98">
        <v>1.34</v>
      </c>
      <c r="AR19" s="98">
        <f>SUM(AF19:AQ19)</f>
        <v>193.41229454097257</v>
      </c>
      <c r="AS19" s="116">
        <f>Z19-AR19</f>
        <v>1.0010387923608164</v>
      </c>
    </row>
    <row r="20" spans="1:45" s="22" customFormat="1" x14ac:dyDescent="0.2">
      <c r="A20" s="172" t="s">
        <v>68</v>
      </c>
      <c r="B20" s="172" t="s">
        <v>94</v>
      </c>
      <c r="C20" s="87"/>
      <c r="D20" s="179"/>
      <c r="E20" s="181"/>
      <c r="F20" s="88"/>
      <c r="G20" s="101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88"/>
      <c r="S20" s="186"/>
      <c r="T20" s="153"/>
      <c r="U20" s="116"/>
      <c r="V20" s="222"/>
      <c r="W20" s="222"/>
      <c r="X20" s="89"/>
      <c r="Y20" s="152"/>
      <c r="Z20" s="341"/>
      <c r="AA20" s="100"/>
      <c r="AB20" s="129"/>
      <c r="AC20" s="100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116"/>
    </row>
    <row r="21" spans="1:45" s="22" customFormat="1" x14ac:dyDescent="0.2">
      <c r="A21" s="172" t="s">
        <v>86</v>
      </c>
      <c r="B21" s="145"/>
      <c r="C21" s="87"/>
      <c r="D21" s="179"/>
      <c r="E21" s="181"/>
      <c r="F21" s="88"/>
      <c r="G21" s="101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88"/>
      <c r="S21" s="186"/>
      <c r="T21" s="153"/>
      <c r="U21" s="116"/>
      <c r="V21" s="222"/>
      <c r="W21" s="222"/>
      <c r="X21" s="89"/>
      <c r="Y21" s="152"/>
      <c r="Z21" s="341"/>
      <c r="AA21" s="100"/>
      <c r="AB21" s="129"/>
      <c r="AC21" s="100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116"/>
    </row>
    <row r="22" spans="1:45" s="22" customFormat="1" x14ac:dyDescent="0.2">
      <c r="A22" s="171" t="s">
        <v>378</v>
      </c>
      <c r="B22" s="145" t="s">
        <v>729</v>
      </c>
      <c r="C22" s="87" t="s">
        <v>502</v>
      </c>
      <c r="D22" s="179">
        <v>10</v>
      </c>
      <c r="E22" s="181">
        <v>0.1</v>
      </c>
      <c r="F22" s="88">
        <v>42185</v>
      </c>
      <c r="G22" s="101">
        <v>120</v>
      </c>
      <c r="H22" s="201">
        <f>100/G22</f>
        <v>0.83333333333333337</v>
      </c>
      <c r="I22" s="233">
        <f t="shared" ref="I22" si="8">H22*J22</f>
        <v>14.166666666666668</v>
      </c>
      <c r="J22" s="90">
        <f>(YEAR(F22)-YEAR(S22))*12+MONTH(F22)-MONTH(S22)</f>
        <v>17</v>
      </c>
      <c r="K22" s="233">
        <f>L22*H22</f>
        <v>85.833333333333343</v>
      </c>
      <c r="L22" s="90">
        <f>G22-J22</f>
        <v>103</v>
      </c>
      <c r="M22" s="233">
        <f>N22*H22</f>
        <v>5.8333333333333339</v>
      </c>
      <c r="N22" s="90">
        <v>7</v>
      </c>
      <c r="O22" s="233">
        <f t="shared" ref="O22" si="9">K22-M22</f>
        <v>80.000000000000014</v>
      </c>
      <c r="P22" s="90">
        <f t="shared" ref="P22" si="10">L22-N22</f>
        <v>96</v>
      </c>
      <c r="Q22" s="90">
        <f t="shared" ref="Q22" si="11">M22-O22</f>
        <v>-74.166666666666686</v>
      </c>
      <c r="R22" s="179" t="s">
        <v>595</v>
      </c>
      <c r="S22" s="171">
        <v>41640</v>
      </c>
      <c r="T22" s="11">
        <v>600</v>
      </c>
      <c r="U22" s="116">
        <v>540</v>
      </c>
      <c r="V22" s="222">
        <v>60</v>
      </c>
      <c r="W22" s="222">
        <f>U22</f>
        <v>540</v>
      </c>
      <c r="X22" s="89">
        <v>5</v>
      </c>
      <c r="Y22" s="152">
        <f>X22*5</f>
        <v>25</v>
      </c>
      <c r="Z22" s="341">
        <f>W22-Y22</f>
        <v>515</v>
      </c>
      <c r="AA22" s="100">
        <v>115.958</v>
      </c>
      <c r="AB22" s="129">
        <v>112.505</v>
      </c>
      <c r="AC22" s="100">
        <f>AA22/AB22</f>
        <v>1.0306919692458114</v>
      </c>
      <c r="AD22" s="98">
        <f>Z22*M22/100/K22*100/7</f>
        <v>5</v>
      </c>
      <c r="AE22" s="98">
        <f>AD22*AC22</f>
        <v>5.1534598462290573</v>
      </c>
      <c r="AF22" s="98"/>
      <c r="AG22" s="98"/>
      <c r="AH22" s="98"/>
      <c r="AI22" s="98"/>
      <c r="AJ22" s="98"/>
      <c r="AK22" s="98">
        <f>AE22</f>
        <v>5.1534598462290573</v>
      </c>
      <c r="AL22" s="98">
        <v>5.1534598462290573</v>
      </c>
      <c r="AM22" s="98">
        <v>5.1534598462290573</v>
      </c>
      <c r="AN22" s="98">
        <v>5.1534598462290573</v>
      </c>
      <c r="AO22" s="98">
        <v>5.1534598462290573</v>
      </c>
      <c r="AP22" s="98">
        <v>5.1534598462290573</v>
      </c>
      <c r="AQ22" s="98">
        <v>5.1534598462290573</v>
      </c>
      <c r="AR22" s="98">
        <f>SUM(AF22:AQ22)</f>
        <v>36.074218923603404</v>
      </c>
      <c r="AS22" s="116">
        <f>Z22-AR22</f>
        <v>478.92578107639662</v>
      </c>
    </row>
    <row r="23" spans="1:45" s="22" customFormat="1" x14ac:dyDescent="0.2">
      <c r="A23" s="171" t="s">
        <v>378</v>
      </c>
      <c r="B23" s="145" t="s">
        <v>730</v>
      </c>
      <c r="C23" s="87" t="s">
        <v>502</v>
      </c>
      <c r="D23" s="179">
        <v>10</v>
      </c>
      <c r="E23" s="181">
        <v>0.1</v>
      </c>
      <c r="F23" s="88">
        <v>42185</v>
      </c>
      <c r="G23" s="101">
        <v>120</v>
      </c>
      <c r="H23" s="201">
        <f>100/G23</f>
        <v>0.83333333333333337</v>
      </c>
      <c r="I23" s="233">
        <f t="shared" ref="I23" si="12">H23*J23</f>
        <v>14.166666666666668</v>
      </c>
      <c r="J23" s="90">
        <f>(YEAR(F23)-YEAR(S23))*12+MONTH(F23)-MONTH(S23)</f>
        <v>17</v>
      </c>
      <c r="K23" s="233">
        <f>L23*H23</f>
        <v>85.833333333333343</v>
      </c>
      <c r="L23" s="90">
        <f>G23-J23</f>
        <v>103</v>
      </c>
      <c r="M23" s="233">
        <f>N23*H23</f>
        <v>5.8333333333333339</v>
      </c>
      <c r="N23" s="90">
        <v>7</v>
      </c>
      <c r="O23" s="233">
        <f t="shared" ref="O23" si="13">K23-M23</f>
        <v>80.000000000000014</v>
      </c>
      <c r="P23" s="90">
        <f t="shared" ref="P23" si="14">L23-N23</f>
        <v>96</v>
      </c>
      <c r="Q23" s="90">
        <f t="shared" ref="Q23" si="15">M23-O23</f>
        <v>-74.166666666666686</v>
      </c>
      <c r="R23" s="179" t="s">
        <v>595</v>
      </c>
      <c r="S23" s="171">
        <v>41640</v>
      </c>
      <c r="T23" s="11">
        <v>890</v>
      </c>
      <c r="U23" s="116">
        <v>800.97</v>
      </c>
      <c r="V23" s="222">
        <v>89.030000000000015</v>
      </c>
      <c r="W23" s="222">
        <f>U23</f>
        <v>800.97</v>
      </c>
      <c r="X23" s="89">
        <v>7.42</v>
      </c>
      <c r="Y23" s="152">
        <f>X23*5</f>
        <v>37.1</v>
      </c>
      <c r="Z23" s="341">
        <f>W23-Y23</f>
        <v>763.87</v>
      </c>
      <c r="AA23" s="100">
        <v>115.958</v>
      </c>
      <c r="AB23" s="129">
        <v>112.505</v>
      </c>
      <c r="AC23" s="100">
        <f>AA23/AB23</f>
        <v>1.0306919692458114</v>
      </c>
      <c r="AD23" s="98">
        <f>Z23*M23/100/K23*100/7</f>
        <v>7.416213592233011</v>
      </c>
      <c r="AE23" s="98">
        <f>AD23*AC23</f>
        <v>7.6438317917261953</v>
      </c>
      <c r="AF23" s="98"/>
      <c r="AG23" s="98"/>
      <c r="AH23" s="98"/>
      <c r="AI23" s="98"/>
      <c r="AJ23" s="98"/>
      <c r="AK23" s="98">
        <f>AE23</f>
        <v>7.6438317917261953</v>
      </c>
      <c r="AL23" s="98">
        <v>7.6438317917261953</v>
      </c>
      <c r="AM23" s="98">
        <v>7.6438317917261953</v>
      </c>
      <c r="AN23" s="98">
        <v>7.6438317917261953</v>
      </c>
      <c r="AO23" s="98">
        <v>7.6438317917261953</v>
      </c>
      <c r="AP23" s="98">
        <v>7.6438317917261953</v>
      </c>
      <c r="AQ23" s="98">
        <v>7.6438317917261953</v>
      </c>
      <c r="AR23" s="98">
        <f>SUM(AF23:AQ23)</f>
        <v>53.506822542083363</v>
      </c>
      <c r="AS23" s="116">
        <f>Z23-AR23</f>
        <v>710.36317745791666</v>
      </c>
    </row>
    <row r="24" spans="1:45" s="22" customFormat="1" x14ac:dyDescent="0.2">
      <c r="A24" s="172" t="s">
        <v>74</v>
      </c>
      <c r="B24" s="172" t="s">
        <v>28</v>
      </c>
      <c r="C24" s="87"/>
      <c r="D24" s="321"/>
      <c r="E24" s="10"/>
      <c r="F24" s="88"/>
      <c r="G24" s="101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182"/>
      <c r="T24" s="11"/>
      <c r="U24" s="116"/>
      <c r="V24" s="222"/>
      <c r="W24" s="222"/>
      <c r="X24" s="89"/>
      <c r="Y24" s="152"/>
      <c r="Z24" s="340"/>
      <c r="AA24" s="100"/>
      <c r="AB24" s="129"/>
      <c r="AC24" s="100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16"/>
    </row>
    <row r="25" spans="1:45" s="22" customFormat="1" x14ac:dyDescent="0.2">
      <c r="A25" s="172" t="s">
        <v>80</v>
      </c>
      <c r="B25" s="46"/>
      <c r="C25" s="87"/>
      <c r="D25" s="334"/>
      <c r="E25" s="157"/>
      <c r="F25" s="88"/>
      <c r="G25" s="101"/>
      <c r="H25" s="201"/>
      <c r="I25" s="233"/>
      <c r="J25" s="90"/>
      <c r="K25" s="233"/>
      <c r="L25" s="90"/>
      <c r="M25" s="233"/>
      <c r="N25" s="90"/>
      <c r="O25" s="233"/>
      <c r="P25" s="90"/>
      <c r="Q25" s="90"/>
      <c r="R25" s="179"/>
      <c r="S25" s="186"/>
      <c r="T25" s="153"/>
      <c r="U25" s="116"/>
      <c r="V25" s="222"/>
      <c r="W25" s="222"/>
      <c r="X25" s="89"/>
      <c r="Y25" s="152"/>
      <c r="Z25" s="340"/>
      <c r="AA25" s="100"/>
      <c r="AB25" s="129"/>
      <c r="AC25" s="100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116"/>
    </row>
    <row r="26" spans="1:45" s="22" customFormat="1" x14ac:dyDescent="0.2">
      <c r="A26" s="171" t="s">
        <v>379</v>
      </c>
      <c r="B26" s="145" t="s">
        <v>731</v>
      </c>
      <c r="C26" s="87" t="s">
        <v>502</v>
      </c>
      <c r="D26" s="179">
        <v>10</v>
      </c>
      <c r="E26" s="184">
        <v>0.1</v>
      </c>
      <c r="F26" s="88">
        <v>42185</v>
      </c>
      <c r="G26" s="101">
        <v>120</v>
      </c>
      <c r="H26" s="201">
        <f>100/G26</f>
        <v>0.83333333333333337</v>
      </c>
      <c r="I26" s="233">
        <f t="shared" ref="I26:I27" si="16">H26*J26</f>
        <v>31.666666666666668</v>
      </c>
      <c r="J26" s="90">
        <f>(YEAR(F26)-YEAR(S26))*12+MONTH(F26)-MONTH(S26)</f>
        <v>38</v>
      </c>
      <c r="K26" s="233">
        <f>L26*H26</f>
        <v>68.333333333333343</v>
      </c>
      <c r="L26" s="90">
        <f>G26-J26</f>
        <v>82</v>
      </c>
      <c r="M26" s="233">
        <f>N26*H26</f>
        <v>5.8333333333333339</v>
      </c>
      <c r="N26" s="90">
        <v>7</v>
      </c>
      <c r="O26" s="233">
        <f t="shared" ref="O26:O27" si="17">K26-M26</f>
        <v>62.500000000000007</v>
      </c>
      <c r="P26" s="90">
        <f t="shared" ref="P26:P27" si="18">L26-N26</f>
        <v>75</v>
      </c>
      <c r="Q26" s="90">
        <f t="shared" ref="Q26:Q27" si="19">M26-O26</f>
        <v>-56.666666666666671</v>
      </c>
      <c r="R26" s="179" t="s">
        <v>595</v>
      </c>
      <c r="S26" s="171">
        <v>41011</v>
      </c>
      <c r="T26" s="11">
        <v>2146</v>
      </c>
      <c r="U26" s="116">
        <v>1573.7633333333333</v>
      </c>
      <c r="V26" s="222">
        <v>214.56999999999996</v>
      </c>
      <c r="W26" s="222">
        <f>U26</f>
        <v>1573.7633333333333</v>
      </c>
      <c r="X26" s="89">
        <v>17.88</v>
      </c>
      <c r="Y26" s="152">
        <f>X26*5</f>
        <v>89.399999999999991</v>
      </c>
      <c r="Z26" s="341">
        <f>W26-Y26</f>
        <v>1484.3633333333332</v>
      </c>
      <c r="AA26" s="100">
        <v>115.958</v>
      </c>
      <c r="AB26" s="129">
        <v>104.22799999999999</v>
      </c>
      <c r="AC26" s="100">
        <f>AA26/AB26</f>
        <v>1.1125417354261811</v>
      </c>
      <c r="AD26" s="98">
        <f>Z26*M26/100/K26*100/7</f>
        <v>18.101991869918695</v>
      </c>
      <c r="AE26" s="98">
        <f>AD26*AC26</f>
        <v>20.139221449629964</v>
      </c>
      <c r="AF26" s="98"/>
      <c r="AG26" s="98"/>
      <c r="AH26" s="98"/>
      <c r="AI26" s="98"/>
      <c r="AJ26" s="98"/>
      <c r="AK26" s="98">
        <f>AE26</f>
        <v>20.139221449629964</v>
      </c>
      <c r="AL26" s="98">
        <v>20.139221449629964</v>
      </c>
      <c r="AM26" s="98">
        <v>20.139221449629964</v>
      </c>
      <c r="AN26" s="98">
        <v>20.139221449629964</v>
      </c>
      <c r="AO26" s="98">
        <v>20.139221449629964</v>
      </c>
      <c r="AP26" s="98">
        <v>20.139221449629964</v>
      </c>
      <c r="AQ26" s="98">
        <v>20.139221449629964</v>
      </c>
      <c r="AR26" s="98">
        <f>SUM(AF26:AQ26)</f>
        <v>140.97455014740973</v>
      </c>
      <c r="AS26" s="116">
        <f>Z26-AR26</f>
        <v>1343.3887831859236</v>
      </c>
    </row>
    <row r="27" spans="1:45" s="22" customFormat="1" x14ac:dyDescent="0.2">
      <c r="A27" s="171" t="s">
        <v>379</v>
      </c>
      <c r="B27" s="145" t="s">
        <v>731</v>
      </c>
      <c r="C27" s="87" t="s">
        <v>502</v>
      </c>
      <c r="D27" s="179">
        <v>10</v>
      </c>
      <c r="E27" s="184">
        <v>0.1</v>
      </c>
      <c r="F27" s="88">
        <v>42185</v>
      </c>
      <c r="G27" s="101">
        <v>120</v>
      </c>
      <c r="H27" s="201">
        <f>100/G27</f>
        <v>0.83333333333333337</v>
      </c>
      <c r="I27" s="233">
        <f t="shared" si="16"/>
        <v>31.666666666666668</v>
      </c>
      <c r="J27" s="90">
        <f>(YEAR(F27)-YEAR(S27))*12+MONTH(F27)-MONTH(S27)</f>
        <v>38</v>
      </c>
      <c r="K27" s="233">
        <f>L27*H27</f>
        <v>68.333333333333343</v>
      </c>
      <c r="L27" s="90">
        <f>G27-J27</f>
        <v>82</v>
      </c>
      <c r="M27" s="233">
        <f>N27*H27</f>
        <v>5.8333333333333339</v>
      </c>
      <c r="N27" s="90">
        <v>7</v>
      </c>
      <c r="O27" s="233">
        <f t="shared" si="17"/>
        <v>62.500000000000007</v>
      </c>
      <c r="P27" s="90">
        <f t="shared" si="18"/>
        <v>75</v>
      </c>
      <c r="Q27" s="90">
        <f t="shared" si="19"/>
        <v>-56.666666666666671</v>
      </c>
      <c r="R27" s="179" t="s">
        <v>595</v>
      </c>
      <c r="S27" s="171">
        <v>41011</v>
      </c>
      <c r="T27" s="183">
        <v>2146</v>
      </c>
      <c r="U27" s="116">
        <v>1573.7633333333333</v>
      </c>
      <c r="V27" s="222">
        <v>214.56999999999996</v>
      </c>
      <c r="W27" s="222">
        <f>U27</f>
        <v>1573.7633333333333</v>
      </c>
      <c r="X27" s="89">
        <v>17.88</v>
      </c>
      <c r="Y27" s="152">
        <f>X27*5</f>
        <v>89.399999999999991</v>
      </c>
      <c r="Z27" s="341">
        <f>W27-Y27</f>
        <v>1484.3633333333332</v>
      </c>
      <c r="AA27" s="100">
        <v>115.958</v>
      </c>
      <c r="AB27" s="129">
        <v>104.22799999999999</v>
      </c>
      <c r="AC27" s="100">
        <f>AA27/AB27</f>
        <v>1.1125417354261811</v>
      </c>
      <c r="AD27" s="98">
        <f>Z27*M27/100/K27*100/7</f>
        <v>18.101991869918695</v>
      </c>
      <c r="AE27" s="98">
        <f>AD27*AC27</f>
        <v>20.139221449629964</v>
      </c>
      <c r="AF27" s="98"/>
      <c r="AG27" s="98"/>
      <c r="AH27" s="98"/>
      <c r="AI27" s="98"/>
      <c r="AJ27" s="98"/>
      <c r="AK27" s="98">
        <f>AE27</f>
        <v>20.139221449629964</v>
      </c>
      <c r="AL27" s="98">
        <v>20.139221449629964</v>
      </c>
      <c r="AM27" s="98">
        <v>20.139221449629964</v>
      </c>
      <c r="AN27" s="98">
        <v>20.139221449629964</v>
      </c>
      <c r="AO27" s="98">
        <v>20.139221449629964</v>
      </c>
      <c r="AP27" s="98">
        <v>20.139221449629964</v>
      </c>
      <c r="AQ27" s="98">
        <v>20.139221449629964</v>
      </c>
      <c r="AR27" s="98">
        <f>SUM(AF27:AQ27)</f>
        <v>140.97455014740973</v>
      </c>
      <c r="AS27" s="116">
        <f>Z27-AR27</f>
        <v>1343.3887831859236</v>
      </c>
    </row>
    <row r="28" spans="1:45" s="22" customFormat="1" x14ac:dyDescent="0.2">
      <c r="A28" s="172" t="s">
        <v>68</v>
      </c>
      <c r="B28" s="172" t="s">
        <v>254</v>
      </c>
      <c r="C28" s="87"/>
      <c r="D28" s="179"/>
      <c r="E28" s="184"/>
      <c r="F28" s="88"/>
      <c r="G28" s="101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24"/>
      <c r="S28" s="182"/>
      <c r="T28" s="11"/>
      <c r="U28" s="116"/>
      <c r="V28" s="224"/>
      <c r="W28" s="224"/>
      <c r="X28" s="18"/>
      <c r="Y28" s="152"/>
      <c r="Z28" s="340"/>
      <c r="AA28" s="100"/>
      <c r="AB28" s="100"/>
      <c r="AC28" s="100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116"/>
    </row>
    <row r="29" spans="1:45" s="22" customFormat="1" x14ac:dyDescent="0.2">
      <c r="A29" s="172" t="s">
        <v>253</v>
      </c>
      <c r="B29" s="145"/>
      <c r="C29" s="87"/>
      <c r="D29" s="179"/>
      <c r="E29" s="184"/>
      <c r="F29" s="88"/>
      <c r="G29" s="101"/>
      <c r="H29" s="201"/>
      <c r="I29" s="233"/>
      <c r="J29" s="90"/>
      <c r="K29" s="233"/>
      <c r="L29" s="90"/>
      <c r="M29" s="233"/>
      <c r="N29" s="90"/>
      <c r="O29" s="233"/>
      <c r="P29" s="90"/>
      <c r="Q29" s="90"/>
      <c r="R29" s="88"/>
      <c r="S29" s="182"/>
      <c r="T29" s="333"/>
      <c r="U29" s="116"/>
      <c r="V29" s="222"/>
      <c r="W29" s="222"/>
      <c r="X29" s="89"/>
      <c r="Y29" s="152"/>
      <c r="Z29" s="341"/>
      <c r="AA29" s="100"/>
      <c r="AB29" s="195"/>
      <c r="AC29" s="100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116"/>
    </row>
    <row r="30" spans="1:45" s="22" customFormat="1" x14ac:dyDescent="0.2">
      <c r="A30" s="12" t="s">
        <v>380</v>
      </c>
      <c r="B30" s="145" t="s">
        <v>732</v>
      </c>
      <c r="C30" s="87" t="s">
        <v>502</v>
      </c>
      <c r="D30" s="179">
        <v>10</v>
      </c>
      <c r="E30" s="184">
        <v>0.1</v>
      </c>
      <c r="F30" s="88">
        <v>42185</v>
      </c>
      <c r="G30" s="101">
        <v>120</v>
      </c>
      <c r="H30" s="201">
        <f>100/G30</f>
        <v>0.83333333333333337</v>
      </c>
      <c r="I30" s="233">
        <f t="shared" ref="I30:I31" si="20">H30*J30</f>
        <v>14.166666666666668</v>
      </c>
      <c r="J30" s="90">
        <f>(YEAR(F30)-YEAR(S30))*12+MONTH(F30)-MONTH(S30)</f>
        <v>17</v>
      </c>
      <c r="K30" s="233">
        <f>L30*H30</f>
        <v>85.833333333333343</v>
      </c>
      <c r="L30" s="90">
        <f>G30-J30</f>
        <v>103</v>
      </c>
      <c r="M30" s="233">
        <f>N30*H30</f>
        <v>5.8333333333333339</v>
      </c>
      <c r="N30" s="90">
        <v>7</v>
      </c>
      <c r="O30" s="233">
        <f t="shared" ref="O30:O31" si="21">K30-M30</f>
        <v>80.000000000000014</v>
      </c>
      <c r="P30" s="90">
        <f t="shared" ref="P30:P31" si="22">L30-N30</f>
        <v>96</v>
      </c>
      <c r="Q30" s="90">
        <f t="shared" ref="Q30:Q31" si="23">M30-O30</f>
        <v>-74.166666666666686</v>
      </c>
      <c r="R30" s="179" t="s">
        <v>595</v>
      </c>
      <c r="S30" s="182">
        <v>41640</v>
      </c>
      <c r="T30" s="11">
        <v>250</v>
      </c>
      <c r="U30" s="116">
        <v>225.03</v>
      </c>
      <c r="V30" s="222">
        <v>24.969999999999992</v>
      </c>
      <c r="W30" s="222">
        <f>U30</f>
        <v>225.03</v>
      </c>
      <c r="X30" s="89">
        <v>2.08</v>
      </c>
      <c r="Y30" s="152">
        <f>X30*5</f>
        <v>10.4</v>
      </c>
      <c r="Z30" s="341">
        <f>W30-Y30</f>
        <v>214.63</v>
      </c>
      <c r="AA30" s="100">
        <v>115.958</v>
      </c>
      <c r="AB30" s="129">
        <v>112.505</v>
      </c>
      <c r="AC30" s="100">
        <f>AA30/AB30</f>
        <v>1.0306919692458114</v>
      </c>
      <c r="AD30" s="98">
        <f>Z30*M30/100/K30*100/7</f>
        <v>2.0837864077669903</v>
      </c>
      <c r="AE30" s="98">
        <f>AD30*AC30</f>
        <v>2.1477419161090148</v>
      </c>
      <c r="AF30" s="98"/>
      <c r="AG30" s="98"/>
      <c r="AH30" s="98"/>
      <c r="AI30" s="98"/>
      <c r="AJ30" s="98"/>
      <c r="AK30" s="98">
        <f>AE30</f>
        <v>2.1477419161090148</v>
      </c>
      <c r="AL30" s="98">
        <v>2.1477419161090148</v>
      </c>
      <c r="AM30" s="98">
        <v>2.1477419161090148</v>
      </c>
      <c r="AN30" s="98">
        <v>2.1477419161090148</v>
      </c>
      <c r="AO30" s="98">
        <v>2.1477419161090148</v>
      </c>
      <c r="AP30" s="98">
        <v>2.1477419161090148</v>
      </c>
      <c r="AQ30" s="98">
        <v>2.1477419161090148</v>
      </c>
      <c r="AR30" s="98">
        <f>SUM(AF30:AQ30)</f>
        <v>15.034193412763102</v>
      </c>
      <c r="AS30" s="116">
        <f>Z30-AR30</f>
        <v>199.59580658723689</v>
      </c>
    </row>
    <row r="31" spans="1:45" s="22" customFormat="1" x14ac:dyDescent="0.2">
      <c r="A31" s="12" t="s">
        <v>380</v>
      </c>
      <c r="B31" s="145" t="s">
        <v>733</v>
      </c>
      <c r="C31" s="87" t="s">
        <v>502</v>
      </c>
      <c r="D31" s="179">
        <v>10</v>
      </c>
      <c r="E31" s="184">
        <v>0.1</v>
      </c>
      <c r="F31" s="88">
        <v>42185</v>
      </c>
      <c r="G31" s="101">
        <v>120</v>
      </c>
      <c r="H31" s="201">
        <f>100/G31</f>
        <v>0.83333333333333337</v>
      </c>
      <c r="I31" s="233">
        <f t="shared" si="20"/>
        <v>14.166666666666668</v>
      </c>
      <c r="J31" s="90">
        <f>(YEAR(F31)-YEAR(S31))*12+MONTH(F31)-MONTH(S31)</f>
        <v>17</v>
      </c>
      <c r="K31" s="233">
        <f>L31*H31</f>
        <v>85.833333333333343</v>
      </c>
      <c r="L31" s="90">
        <f>G31-J31</f>
        <v>103</v>
      </c>
      <c r="M31" s="233">
        <f>N31*H31</f>
        <v>5.8333333333333339</v>
      </c>
      <c r="N31" s="90">
        <v>7</v>
      </c>
      <c r="O31" s="233">
        <f t="shared" si="21"/>
        <v>80.000000000000014</v>
      </c>
      <c r="P31" s="90">
        <f t="shared" si="22"/>
        <v>96</v>
      </c>
      <c r="Q31" s="90">
        <f t="shared" si="23"/>
        <v>-74.166666666666686</v>
      </c>
      <c r="R31" s="179" t="s">
        <v>595</v>
      </c>
      <c r="S31" s="171">
        <v>41640</v>
      </c>
      <c r="T31" s="11">
        <v>250</v>
      </c>
      <c r="U31" s="116">
        <v>225.03333333333333</v>
      </c>
      <c r="V31" s="222">
        <v>24.966666666666661</v>
      </c>
      <c r="W31" s="222">
        <f>U31</f>
        <v>225.03333333333333</v>
      </c>
      <c r="X31" s="89">
        <v>2.08</v>
      </c>
      <c r="Y31" s="152">
        <f>X31*5</f>
        <v>10.4</v>
      </c>
      <c r="Z31" s="341">
        <f>W31-Y31</f>
        <v>214.63333333333333</v>
      </c>
      <c r="AA31" s="100">
        <v>115.958</v>
      </c>
      <c r="AB31" s="129">
        <v>112.505</v>
      </c>
      <c r="AC31" s="100">
        <f>AA31/AB31</f>
        <v>1.0306919692458114</v>
      </c>
      <c r="AD31" s="98">
        <f>Z31*M31/100/K31*100/7</f>
        <v>2.0838187702265367</v>
      </c>
      <c r="AE31" s="98">
        <f>AD31*AC31</f>
        <v>2.1477752718361742</v>
      </c>
      <c r="AF31" s="98"/>
      <c r="AG31" s="98"/>
      <c r="AH31" s="98"/>
      <c r="AI31" s="98"/>
      <c r="AJ31" s="98"/>
      <c r="AK31" s="98">
        <f>AE31</f>
        <v>2.1477752718361742</v>
      </c>
      <c r="AL31" s="98">
        <v>2.1477752718361742</v>
      </c>
      <c r="AM31" s="98">
        <v>2.1477752718361742</v>
      </c>
      <c r="AN31" s="98">
        <v>2.1477752718361742</v>
      </c>
      <c r="AO31" s="98">
        <v>2.1477752718361742</v>
      </c>
      <c r="AP31" s="98">
        <v>2.1477752718361742</v>
      </c>
      <c r="AQ31" s="98">
        <v>2.1477752718361742</v>
      </c>
      <c r="AR31" s="98">
        <f>SUM(AF31:AQ31)</f>
        <v>15.03442690285322</v>
      </c>
      <c r="AS31" s="116">
        <f>Z31-AR31</f>
        <v>199.5989064304801</v>
      </c>
    </row>
    <row r="32" spans="1:45" s="22" customFormat="1" x14ac:dyDescent="0.2">
      <c r="A32" s="172" t="s">
        <v>68</v>
      </c>
      <c r="B32" s="172" t="s">
        <v>92</v>
      </c>
      <c r="C32" s="87"/>
      <c r="D32" s="179"/>
      <c r="E32" s="18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9"/>
      <c r="S32" s="182"/>
      <c r="T32" s="11"/>
      <c r="U32" s="116"/>
      <c r="V32" s="18"/>
      <c r="W32" s="18"/>
      <c r="X32" s="18"/>
      <c r="Y32" s="154"/>
      <c r="Z32" s="340"/>
      <c r="AA32" s="110"/>
      <c r="AB32" s="129"/>
      <c r="AC32" s="110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7"/>
    </row>
    <row r="33" spans="1:46" s="22" customFormat="1" x14ac:dyDescent="0.2">
      <c r="A33" s="172" t="s">
        <v>87</v>
      </c>
      <c r="B33" s="145"/>
      <c r="C33" s="87"/>
      <c r="D33" s="179"/>
      <c r="E33" s="184"/>
      <c r="F33" s="88"/>
      <c r="G33" s="101"/>
      <c r="H33" s="201"/>
      <c r="I33" s="233"/>
      <c r="J33" s="90"/>
      <c r="K33" s="233"/>
      <c r="L33" s="90"/>
      <c r="M33" s="233"/>
      <c r="N33" s="90"/>
      <c r="O33" s="233"/>
      <c r="P33" s="90"/>
      <c r="Q33" s="88"/>
      <c r="R33" s="88"/>
      <c r="S33" s="186"/>
      <c r="T33" s="153"/>
      <c r="U33" s="116"/>
      <c r="V33" s="222"/>
      <c r="W33" s="222"/>
      <c r="X33" s="89"/>
      <c r="Y33" s="152"/>
      <c r="Z33" s="341"/>
      <c r="AA33" s="100"/>
      <c r="AB33" s="129"/>
      <c r="AC33" s="100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116"/>
      <c r="AT33" s="168"/>
    </row>
    <row r="34" spans="1:46" s="449" customFormat="1" x14ac:dyDescent="0.2">
      <c r="A34" s="434" t="s">
        <v>381</v>
      </c>
      <c r="B34" s="434" t="s">
        <v>871</v>
      </c>
      <c r="C34" s="450" t="s">
        <v>502</v>
      </c>
      <c r="D34" s="435">
        <v>10</v>
      </c>
      <c r="E34" s="451">
        <v>0.1</v>
      </c>
      <c r="F34" s="437">
        <v>42344</v>
      </c>
      <c r="G34" s="438">
        <v>120</v>
      </c>
      <c r="H34" s="439">
        <f>100/G34</f>
        <v>0.83333333333333337</v>
      </c>
      <c r="I34" s="440">
        <f>H34*J34</f>
        <v>0</v>
      </c>
      <c r="J34" s="438">
        <f>(YEAR(F34)-YEAR(S34))*12+MONTH(F34)-MONTH(S34)</f>
        <v>0</v>
      </c>
      <c r="K34" s="440">
        <f>L34*H34</f>
        <v>100</v>
      </c>
      <c r="L34" s="438">
        <f>G34-J34</f>
        <v>120</v>
      </c>
      <c r="M34" s="440">
        <f>N34*H34</f>
        <v>0</v>
      </c>
      <c r="N34" s="438">
        <v>0</v>
      </c>
      <c r="O34" s="440">
        <f>P34*H34</f>
        <v>100</v>
      </c>
      <c r="P34" s="438">
        <f t="shared" ref="P34" si="24">L34-N34</f>
        <v>120</v>
      </c>
      <c r="Q34" s="438">
        <f>M34-O34</f>
        <v>-100</v>
      </c>
      <c r="R34" s="438">
        <v>3337</v>
      </c>
      <c r="S34" s="437">
        <v>42344</v>
      </c>
      <c r="T34" s="443">
        <f>2*734</f>
        <v>1468</v>
      </c>
      <c r="U34" s="445">
        <v>0</v>
      </c>
      <c r="V34" s="447">
        <v>0</v>
      </c>
      <c r="W34" s="447">
        <v>0</v>
      </c>
      <c r="X34" s="445">
        <v>115.958</v>
      </c>
      <c r="Y34" s="457">
        <v>0</v>
      </c>
      <c r="Z34" s="445">
        <v>0</v>
      </c>
      <c r="AA34" s="457">
        <v>115.958</v>
      </c>
      <c r="AB34" s="447">
        <v>118.532</v>
      </c>
      <c r="AC34" s="447">
        <f>AA34/AB34</f>
        <v>0.97828434515573859</v>
      </c>
      <c r="AD34" s="447">
        <f>H34*T34/100</f>
        <v>12.233333333333334</v>
      </c>
      <c r="AE34" s="447">
        <f>AD34*AC34</f>
        <v>11.96767848907187</v>
      </c>
      <c r="AF34" s="447"/>
      <c r="AG34" s="447"/>
      <c r="AH34" s="447"/>
      <c r="AI34" s="447"/>
      <c r="AJ34" s="447"/>
      <c r="AK34" s="448"/>
      <c r="AL34" s="448"/>
      <c r="AM34" s="448"/>
      <c r="AN34" s="448">
        <v>0</v>
      </c>
      <c r="AO34" s="448">
        <v>0</v>
      </c>
      <c r="AP34" s="448">
        <f>T34</f>
        <v>1468</v>
      </c>
      <c r="AQ34" s="460"/>
      <c r="AR34" s="460"/>
      <c r="AS34" s="460">
        <f>T34</f>
        <v>1468</v>
      </c>
    </row>
    <row r="35" spans="1:46" s="22" customFormat="1" x14ac:dyDescent="0.2">
      <c r="A35" s="171" t="s">
        <v>381</v>
      </c>
      <c r="B35" s="145" t="s">
        <v>734</v>
      </c>
      <c r="C35" s="87" t="s">
        <v>502</v>
      </c>
      <c r="D35" s="179">
        <v>10</v>
      </c>
      <c r="E35" s="184">
        <v>0.1</v>
      </c>
      <c r="F35" s="88">
        <v>42185</v>
      </c>
      <c r="G35" s="101">
        <v>120</v>
      </c>
      <c r="H35" s="201">
        <f>100/G35</f>
        <v>0.83333333333333337</v>
      </c>
      <c r="I35" s="233">
        <f t="shared" ref="I35" si="25">H35*J35</f>
        <v>14.166666666666668</v>
      </c>
      <c r="J35" s="90">
        <f>(YEAR(F35)-YEAR(S35))*12+MONTH(F35)-MONTH(S35)</f>
        <v>17</v>
      </c>
      <c r="K35" s="233">
        <f>L35*H35</f>
        <v>85.833333333333343</v>
      </c>
      <c r="L35" s="90">
        <f>G35-J35</f>
        <v>103</v>
      </c>
      <c r="M35" s="233">
        <f>N35*H35</f>
        <v>5.8333333333333339</v>
      </c>
      <c r="N35" s="90">
        <v>7</v>
      </c>
      <c r="O35" s="233">
        <f t="shared" ref="O35" si="26">K35-M35</f>
        <v>80.000000000000014</v>
      </c>
      <c r="P35" s="90">
        <f t="shared" ref="P35" si="27">L35-N35</f>
        <v>96</v>
      </c>
      <c r="Q35" s="90">
        <f t="shared" ref="Q35" si="28">M35-O35</f>
        <v>-74.166666666666686</v>
      </c>
      <c r="R35" s="179" t="s">
        <v>595</v>
      </c>
      <c r="S35" s="186">
        <v>41640</v>
      </c>
      <c r="T35" s="153">
        <v>770</v>
      </c>
      <c r="U35" s="116">
        <v>692.97</v>
      </c>
      <c r="V35" s="222">
        <v>77.030000000000015</v>
      </c>
      <c r="W35" s="222">
        <f>U35</f>
        <v>692.97</v>
      </c>
      <c r="X35" s="89">
        <v>6.42</v>
      </c>
      <c r="Y35" s="152">
        <f>X35*5</f>
        <v>32.1</v>
      </c>
      <c r="Z35" s="341">
        <f>W35-Y35</f>
        <v>660.87</v>
      </c>
      <c r="AA35" s="100">
        <v>115.958</v>
      </c>
      <c r="AB35" s="129">
        <v>107.678</v>
      </c>
      <c r="AC35" s="100">
        <f>AA35/AB35</f>
        <v>1.0768959304593324</v>
      </c>
      <c r="AD35" s="98">
        <f>Z35*M35/100/K35*100/7</f>
        <v>6.4162135922330092</v>
      </c>
      <c r="AE35" s="98">
        <f>AD35*AC35</f>
        <v>6.9095943064335819</v>
      </c>
      <c r="AF35" s="98"/>
      <c r="AG35" s="98"/>
      <c r="AH35" s="98"/>
      <c r="AI35" s="98"/>
      <c r="AJ35" s="98"/>
      <c r="AK35" s="98">
        <f>AE35</f>
        <v>6.9095943064335819</v>
      </c>
      <c r="AL35" s="98">
        <v>6.9095943064335819</v>
      </c>
      <c r="AM35" s="98">
        <v>6.9095943064335819</v>
      </c>
      <c r="AN35" s="98">
        <v>6.9095943064335819</v>
      </c>
      <c r="AO35" s="98">
        <v>6.9095943064335819</v>
      </c>
      <c r="AP35" s="98">
        <v>6.9095943064335819</v>
      </c>
      <c r="AQ35" s="98">
        <v>6.9095943064335819</v>
      </c>
      <c r="AR35" s="98">
        <f>SUM(AF35:AQ35)</f>
        <v>48.367160145035072</v>
      </c>
      <c r="AS35" s="116">
        <f>Z35-AR35</f>
        <v>612.50283985496492</v>
      </c>
    </row>
    <row r="36" spans="1:46" s="22" customFormat="1" x14ac:dyDescent="0.2">
      <c r="A36" s="172" t="s">
        <v>74</v>
      </c>
      <c r="B36" s="172" t="s">
        <v>89</v>
      </c>
      <c r="C36" s="87"/>
      <c r="D36" s="179"/>
      <c r="E36" s="184"/>
      <c r="F36" s="88"/>
      <c r="G36" s="101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171"/>
      <c r="S36" s="171"/>
      <c r="T36" s="11"/>
      <c r="U36" s="116"/>
      <c r="V36" s="222"/>
      <c r="W36" s="222"/>
      <c r="X36" s="89"/>
      <c r="Y36" s="152"/>
      <c r="Z36" s="340"/>
      <c r="AA36" s="100"/>
      <c r="AB36" s="129"/>
      <c r="AC36" s="100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116"/>
    </row>
    <row r="37" spans="1:46" s="22" customFormat="1" x14ac:dyDescent="0.2">
      <c r="A37" s="172" t="s">
        <v>102</v>
      </c>
      <c r="B37" s="145"/>
      <c r="C37" s="178"/>
      <c r="D37" s="179"/>
      <c r="E37" s="184"/>
      <c r="F37" s="88"/>
      <c r="G37" s="101"/>
      <c r="H37" s="201"/>
      <c r="I37" s="233"/>
      <c r="J37" s="90"/>
      <c r="K37" s="233"/>
      <c r="L37" s="90"/>
      <c r="M37" s="233"/>
      <c r="N37" s="90"/>
      <c r="O37" s="233"/>
      <c r="P37" s="90"/>
      <c r="Q37" s="90"/>
      <c r="R37" s="88"/>
      <c r="S37" s="171"/>
      <c r="T37" s="11"/>
      <c r="U37" s="160"/>
      <c r="V37" s="222"/>
      <c r="W37" s="222"/>
      <c r="X37" s="89"/>
      <c r="Y37" s="152"/>
      <c r="Z37" s="341"/>
      <c r="AA37" s="100"/>
      <c r="AB37" s="196"/>
      <c r="AC37" s="100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116"/>
    </row>
    <row r="38" spans="1:46" s="22" customFormat="1" x14ac:dyDescent="0.2">
      <c r="A38" s="171" t="s">
        <v>382</v>
      </c>
      <c r="B38" s="145" t="s">
        <v>735</v>
      </c>
      <c r="C38" s="87" t="s">
        <v>502</v>
      </c>
      <c r="D38" s="179">
        <v>10</v>
      </c>
      <c r="E38" s="184">
        <v>0.1</v>
      </c>
      <c r="F38" s="88">
        <v>42185</v>
      </c>
      <c r="G38" s="101">
        <v>120</v>
      </c>
      <c r="H38" s="201">
        <f>100/G38</f>
        <v>0.83333333333333337</v>
      </c>
      <c r="I38" s="233">
        <f t="shared" ref="I38" si="29">H38*J38</f>
        <v>14.166666666666668</v>
      </c>
      <c r="J38" s="90">
        <f>(YEAR(F38)-YEAR(S38))*12+MONTH(F38)-MONTH(S38)</f>
        <v>17</v>
      </c>
      <c r="K38" s="233">
        <f>L38*H38</f>
        <v>85.833333333333343</v>
      </c>
      <c r="L38" s="90">
        <f>G38-J38</f>
        <v>103</v>
      </c>
      <c r="M38" s="233">
        <f>N38*H38</f>
        <v>5.8333333333333339</v>
      </c>
      <c r="N38" s="90">
        <v>7</v>
      </c>
      <c r="O38" s="233">
        <f t="shared" ref="O38" si="30">K38-M38</f>
        <v>80.000000000000014</v>
      </c>
      <c r="P38" s="90">
        <f t="shared" ref="P38" si="31">L38-N38</f>
        <v>96</v>
      </c>
      <c r="Q38" s="90">
        <f t="shared" ref="Q38" si="32">M38-O38</f>
        <v>-74.166666666666686</v>
      </c>
      <c r="R38" s="179" t="s">
        <v>595</v>
      </c>
      <c r="S38" s="182">
        <v>41640</v>
      </c>
      <c r="T38" s="11">
        <v>3493</v>
      </c>
      <c r="U38" s="116">
        <v>3143.6849999999999</v>
      </c>
      <c r="V38" s="222">
        <v>349.31500000000011</v>
      </c>
      <c r="W38" s="222">
        <f>U38</f>
        <v>3143.6849999999999</v>
      </c>
      <c r="X38" s="89">
        <v>29.11</v>
      </c>
      <c r="Y38" s="152">
        <f>X38*5</f>
        <v>145.55000000000001</v>
      </c>
      <c r="Z38" s="341">
        <f>W38-Y38</f>
        <v>2998.1349999999998</v>
      </c>
      <c r="AA38" s="100">
        <v>115.958</v>
      </c>
      <c r="AB38" s="129">
        <v>107.678</v>
      </c>
      <c r="AC38" s="100">
        <f>AA38/AB38</f>
        <v>1.0768959304593324</v>
      </c>
      <c r="AD38" s="98">
        <f>Z38*M38/100/K38*100/7</f>
        <v>29.108106796116505</v>
      </c>
      <c r="AE38" s="98">
        <f>AD38*AC38</f>
        <v>31.346401752113501</v>
      </c>
      <c r="AF38" s="98"/>
      <c r="AG38" s="98"/>
      <c r="AH38" s="98"/>
      <c r="AI38" s="98"/>
      <c r="AJ38" s="98"/>
      <c r="AK38" s="98">
        <f>AE38</f>
        <v>31.346401752113501</v>
      </c>
      <c r="AL38" s="98">
        <v>31.346401752113501</v>
      </c>
      <c r="AM38" s="98">
        <v>31.346401752113501</v>
      </c>
      <c r="AN38" s="98">
        <v>31.346401752113501</v>
      </c>
      <c r="AO38" s="98">
        <v>31.346401752113501</v>
      </c>
      <c r="AP38" s="98">
        <v>31.346401752113501</v>
      </c>
      <c r="AQ38" s="98">
        <v>31.346401752113501</v>
      </c>
      <c r="AR38" s="98">
        <f>SUM(AF38:AQ38)</f>
        <v>219.42481226479453</v>
      </c>
      <c r="AS38" s="116">
        <f>Z38-AR38</f>
        <v>2778.7101877352052</v>
      </c>
    </row>
    <row r="39" spans="1:46" s="22" customFormat="1" x14ac:dyDescent="0.2">
      <c r="A39" s="172" t="s">
        <v>68</v>
      </c>
      <c r="B39" s="172" t="s">
        <v>384</v>
      </c>
      <c r="C39" s="87"/>
      <c r="D39" s="199"/>
      <c r="E39" s="46"/>
      <c r="F39" s="88"/>
      <c r="G39" s="101"/>
      <c r="H39" s="201"/>
      <c r="I39" s="233"/>
      <c r="J39" s="90"/>
      <c r="K39" s="233"/>
      <c r="L39" s="90"/>
      <c r="M39" s="233"/>
      <c r="N39" s="90"/>
      <c r="O39" s="233"/>
      <c r="P39" s="90"/>
      <c r="Q39" s="90"/>
      <c r="R39" s="88"/>
      <c r="S39" s="186"/>
      <c r="T39" s="153"/>
      <c r="U39" s="116"/>
      <c r="V39" s="222"/>
      <c r="W39" s="222"/>
      <c r="X39" s="89"/>
      <c r="Y39" s="152"/>
      <c r="Z39" s="341"/>
      <c r="AA39" s="100"/>
      <c r="AB39" s="129"/>
      <c r="AC39" s="100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116"/>
    </row>
    <row r="40" spans="1:46" s="22" customFormat="1" x14ac:dyDescent="0.2">
      <c r="A40" s="172" t="s">
        <v>383</v>
      </c>
      <c r="B40" s="180"/>
      <c r="C40" s="178"/>
      <c r="D40" s="199"/>
      <c r="E40" s="46"/>
      <c r="F40" s="88"/>
      <c r="G40" s="101"/>
      <c r="H40" s="201"/>
      <c r="I40" s="233"/>
      <c r="J40" s="90"/>
      <c r="K40" s="233"/>
      <c r="L40" s="90"/>
      <c r="M40" s="233"/>
      <c r="N40" s="90"/>
      <c r="O40" s="233"/>
      <c r="P40" s="90"/>
      <c r="Q40" s="90"/>
      <c r="R40" s="88"/>
      <c r="S40" s="171"/>
      <c r="T40" s="11"/>
      <c r="U40" s="160"/>
      <c r="V40" s="222"/>
      <c r="W40" s="222"/>
      <c r="X40" s="89"/>
      <c r="Y40" s="152"/>
      <c r="Z40" s="341"/>
      <c r="AA40" s="100"/>
      <c r="AB40" s="127"/>
      <c r="AC40" s="100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116"/>
    </row>
    <row r="41" spans="1:46" s="22" customFormat="1" x14ac:dyDescent="0.2">
      <c r="A41" s="171" t="s">
        <v>385</v>
      </c>
      <c r="B41" s="145" t="s">
        <v>736</v>
      </c>
      <c r="C41" s="87" t="s">
        <v>502</v>
      </c>
      <c r="D41" s="179">
        <v>3</v>
      </c>
      <c r="E41" s="181">
        <v>0.33329999999999999</v>
      </c>
      <c r="F41" s="88">
        <v>42185</v>
      </c>
      <c r="G41" s="101">
        <v>36</v>
      </c>
      <c r="H41" s="201">
        <f>100/G41</f>
        <v>2.7777777777777777</v>
      </c>
      <c r="I41" s="233">
        <f t="shared" ref="I41" si="33">H41*J41</f>
        <v>75</v>
      </c>
      <c r="J41" s="90">
        <f>(YEAR(F41)-YEAR(S41))*12+MONTH(F41)-MONTH(S41)</f>
        <v>27</v>
      </c>
      <c r="K41" s="233">
        <f>L41*H41</f>
        <v>25</v>
      </c>
      <c r="L41" s="90">
        <f>G41-J41</f>
        <v>9</v>
      </c>
      <c r="M41" s="233">
        <f>N41*H41</f>
        <v>19.444444444444443</v>
      </c>
      <c r="N41" s="90">
        <v>7</v>
      </c>
      <c r="O41" s="233">
        <f t="shared" ref="O41" si="34">K41-M41</f>
        <v>5.5555555555555571</v>
      </c>
      <c r="P41" s="90">
        <f t="shared" ref="P41" si="35">L41-N41</f>
        <v>2</v>
      </c>
      <c r="Q41" s="90">
        <f t="shared" ref="Q41" si="36">M41-O41</f>
        <v>13.888888888888886</v>
      </c>
      <c r="R41" s="179" t="s">
        <v>595</v>
      </c>
      <c r="S41" s="182">
        <v>41355</v>
      </c>
      <c r="T41" s="183">
        <v>11000</v>
      </c>
      <c r="U41" s="116">
        <v>4583.920000000001</v>
      </c>
      <c r="V41" s="222">
        <v>3666.3549999999987</v>
      </c>
      <c r="W41" s="222">
        <f>U41</f>
        <v>4583.920000000001</v>
      </c>
      <c r="X41" s="89">
        <v>305.52999999999997</v>
      </c>
      <c r="Y41" s="152">
        <f>X41*5</f>
        <v>1527.6499999999999</v>
      </c>
      <c r="Z41" s="341">
        <f>W41-Y41</f>
        <v>3056.2700000000013</v>
      </c>
      <c r="AA41" s="100">
        <v>115.958</v>
      </c>
      <c r="AB41" s="129">
        <v>109.002</v>
      </c>
      <c r="AC41" s="100">
        <f>AA41/AB41</f>
        <v>1.0638153428377461</v>
      </c>
      <c r="AD41" s="98">
        <f>Z41*M41/100/K41*100/7</f>
        <v>339.58555555555569</v>
      </c>
      <c r="AE41" s="98">
        <f>AD41*AC41</f>
        <v>361.25632420607997</v>
      </c>
      <c r="AF41" s="98"/>
      <c r="AG41" s="98"/>
      <c r="AH41" s="98"/>
      <c r="AI41" s="98"/>
      <c r="AJ41" s="98"/>
      <c r="AK41" s="98">
        <f>AE41</f>
        <v>361.25632420607997</v>
      </c>
      <c r="AL41" s="98">
        <v>361.25632420607997</v>
      </c>
      <c r="AM41" s="98">
        <v>361.25632420607997</v>
      </c>
      <c r="AN41" s="98">
        <v>361.25632420607997</v>
      </c>
      <c r="AO41" s="98">
        <v>361.25632420607997</v>
      </c>
      <c r="AP41" s="98">
        <v>361.25632420607997</v>
      </c>
      <c r="AQ41" s="98">
        <v>361.25632420607997</v>
      </c>
      <c r="AR41" s="98">
        <f>SUM(AF41:AQ41)</f>
        <v>2528.7942694425601</v>
      </c>
      <c r="AS41" s="116">
        <f>Z41-AR41</f>
        <v>527.47573055744124</v>
      </c>
    </row>
    <row r="42" spans="1:46" s="22" customFormat="1" x14ac:dyDescent="0.2">
      <c r="A42" s="172" t="s">
        <v>68</v>
      </c>
      <c r="B42" s="172" t="s">
        <v>344</v>
      </c>
      <c r="C42" s="87"/>
      <c r="D42" s="199"/>
      <c r="E42" s="46"/>
      <c r="F42" s="88"/>
      <c r="G42" s="101"/>
      <c r="H42" s="201"/>
      <c r="I42" s="90"/>
      <c r="J42" s="90"/>
      <c r="K42" s="90"/>
      <c r="L42" s="90"/>
      <c r="M42" s="90"/>
      <c r="N42" s="90"/>
      <c r="O42" s="90"/>
      <c r="P42" s="90"/>
      <c r="Q42" s="90"/>
      <c r="R42" s="88"/>
      <c r="S42" s="182"/>
      <c r="T42" s="11"/>
      <c r="U42" s="116"/>
      <c r="V42" s="222"/>
      <c r="W42" s="222"/>
      <c r="X42" s="89"/>
      <c r="Y42" s="152"/>
      <c r="Z42" s="341"/>
      <c r="AA42" s="100"/>
      <c r="AB42" s="100"/>
      <c r="AC42" s="100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116"/>
    </row>
    <row r="43" spans="1:46" s="22" customFormat="1" x14ac:dyDescent="0.2">
      <c r="A43" s="172" t="s">
        <v>115</v>
      </c>
      <c r="B43" s="180"/>
      <c r="C43" s="87"/>
      <c r="D43" s="199"/>
      <c r="E43" s="46"/>
      <c r="F43" s="88"/>
      <c r="G43" s="101"/>
      <c r="H43" s="201"/>
      <c r="I43" s="233"/>
      <c r="J43" s="90"/>
      <c r="K43" s="233"/>
      <c r="L43" s="90"/>
      <c r="M43" s="233"/>
      <c r="N43" s="90"/>
      <c r="O43" s="233"/>
      <c r="P43" s="90"/>
      <c r="Q43" s="90"/>
      <c r="R43" s="179"/>
      <c r="S43" s="182"/>
      <c r="T43" s="333"/>
      <c r="U43" s="116"/>
      <c r="V43" s="222"/>
      <c r="W43" s="222"/>
      <c r="X43" s="89"/>
      <c r="Y43" s="152"/>
      <c r="Z43" s="340"/>
      <c r="AA43" s="100"/>
      <c r="AB43" s="195"/>
      <c r="AC43" s="100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116"/>
    </row>
    <row r="44" spans="1:46" s="22" customFormat="1" x14ac:dyDescent="0.2">
      <c r="A44" s="171" t="s">
        <v>386</v>
      </c>
      <c r="B44" s="145" t="s">
        <v>737</v>
      </c>
      <c r="C44" s="87" t="s">
        <v>502</v>
      </c>
      <c r="D44" s="179">
        <v>10</v>
      </c>
      <c r="E44" s="181">
        <v>0.1</v>
      </c>
      <c r="F44" s="88">
        <v>42185</v>
      </c>
      <c r="G44" s="101">
        <v>120</v>
      </c>
      <c r="H44" s="201">
        <f>100/G44</f>
        <v>0.83333333333333337</v>
      </c>
      <c r="I44" s="233">
        <f t="shared" ref="I44" si="37">H44*J44</f>
        <v>14.166666666666668</v>
      </c>
      <c r="J44" s="90">
        <f>(YEAR(F44)-YEAR(S44))*12+MONTH(F44)-MONTH(S44)</f>
        <v>17</v>
      </c>
      <c r="K44" s="233">
        <f>L44*H44</f>
        <v>85.833333333333343</v>
      </c>
      <c r="L44" s="90">
        <f>G44-J44</f>
        <v>103</v>
      </c>
      <c r="M44" s="233">
        <f>N44*H44</f>
        <v>5.8333333333333339</v>
      </c>
      <c r="N44" s="90">
        <v>7</v>
      </c>
      <c r="O44" s="233">
        <f t="shared" ref="O44" si="38">K44-M44</f>
        <v>80.000000000000014</v>
      </c>
      <c r="P44" s="90">
        <f t="shared" ref="P44" si="39">L44-N44</f>
        <v>96</v>
      </c>
      <c r="Q44" s="90">
        <f t="shared" ref="Q44" si="40">M44-O44</f>
        <v>-74.166666666666686</v>
      </c>
      <c r="R44" s="179" t="s">
        <v>595</v>
      </c>
      <c r="S44" s="182">
        <v>41640</v>
      </c>
      <c r="T44" s="11">
        <v>200</v>
      </c>
      <c r="U44" s="116">
        <v>179.97</v>
      </c>
      <c r="V44" s="222">
        <v>20.03</v>
      </c>
      <c r="W44" s="222">
        <f>U44</f>
        <v>179.97</v>
      </c>
      <c r="X44" s="89">
        <v>1.67</v>
      </c>
      <c r="Y44" s="152">
        <f>X44*5</f>
        <v>8.35</v>
      </c>
      <c r="Z44" s="341">
        <f>W44-Y44</f>
        <v>171.62</v>
      </c>
      <c r="AA44" s="100">
        <v>115.958</v>
      </c>
      <c r="AB44" s="129">
        <v>107.678</v>
      </c>
      <c r="AC44" s="100">
        <f>AA44/AB44</f>
        <v>1.0768959304593324</v>
      </c>
      <c r="AD44" s="98">
        <f>Z44*M44/100/K44*100/7</f>
        <v>1.6662135922330099</v>
      </c>
      <c r="AE44" s="98">
        <f>AD44*AC44</f>
        <v>1.794338636751754</v>
      </c>
      <c r="AF44" s="98"/>
      <c r="AG44" s="98"/>
      <c r="AH44" s="98"/>
      <c r="AI44" s="98"/>
      <c r="AJ44" s="98"/>
      <c r="AK44" s="98">
        <f>AE44</f>
        <v>1.794338636751754</v>
      </c>
      <c r="AL44" s="98">
        <v>1.794338636751754</v>
      </c>
      <c r="AM44" s="98">
        <v>1.794338636751754</v>
      </c>
      <c r="AN44" s="98">
        <v>1.794338636751754</v>
      </c>
      <c r="AO44" s="98">
        <v>1.794338636751754</v>
      </c>
      <c r="AP44" s="98">
        <v>1.794338636751754</v>
      </c>
      <c r="AQ44" s="98">
        <v>1.794338636751754</v>
      </c>
      <c r="AR44" s="98">
        <f>SUM(AF44:AQ44)</f>
        <v>12.560370457262277</v>
      </c>
      <c r="AS44" s="116">
        <f>Z44-AR44</f>
        <v>159.05962954273772</v>
      </c>
    </row>
    <row r="45" spans="1:46" s="22" customFormat="1" x14ac:dyDescent="0.2">
      <c r="A45" s="172" t="s">
        <v>68</v>
      </c>
      <c r="B45" s="172" t="s">
        <v>93</v>
      </c>
      <c r="C45" s="178"/>
      <c r="D45" s="199"/>
      <c r="E45" s="46"/>
      <c r="F45" s="88"/>
      <c r="G45" s="101"/>
      <c r="H45" s="201"/>
      <c r="I45" s="233"/>
      <c r="J45" s="90"/>
      <c r="K45" s="233"/>
      <c r="L45" s="90"/>
      <c r="M45" s="233"/>
      <c r="N45" s="90"/>
      <c r="O45" s="233"/>
      <c r="P45" s="90"/>
      <c r="Q45" s="90"/>
      <c r="R45" s="179"/>
      <c r="S45" s="171"/>
      <c r="T45" s="11"/>
      <c r="U45" s="160"/>
      <c r="V45" s="222"/>
      <c r="W45" s="222"/>
      <c r="X45" s="89"/>
      <c r="Y45" s="152"/>
      <c r="Z45" s="340"/>
      <c r="AA45" s="100"/>
      <c r="AB45" s="196"/>
      <c r="AC45" s="100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116"/>
    </row>
    <row r="46" spans="1:46" s="22" customFormat="1" x14ac:dyDescent="0.2">
      <c r="A46" s="172" t="s">
        <v>238</v>
      </c>
      <c r="B46" s="180"/>
      <c r="C46" s="87"/>
      <c r="D46" s="199"/>
      <c r="E46" s="46"/>
      <c r="F46" s="88"/>
      <c r="G46" s="101"/>
      <c r="H46" s="201"/>
      <c r="I46" s="233"/>
      <c r="J46" s="90"/>
      <c r="K46" s="233"/>
      <c r="L46" s="90"/>
      <c r="M46" s="233"/>
      <c r="N46" s="90"/>
      <c r="O46" s="233"/>
      <c r="P46" s="90"/>
      <c r="Q46" s="90"/>
      <c r="R46" s="179"/>
      <c r="S46" s="182"/>
      <c r="T46" s="11"/>
      <c r="U46" s="116"/>
      <c r="V46" s="222"/>
      <c r="W46" s="222"/>
      <c r="X46" s="89"/>
      <c r="Y46" s="152"/>
      <c r="Z46" s="340"/>
      <c r="AA46" s="100"/>
      <c r="AB46" s="129"/>
      <c r="AC46" s="100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116"/>
    </row>
    <row r="47" spans="1:46" s="22" customFormat="1" x14ac:dyDescent="0.2">
      <c r="A47" s="171" t="s">
        <v>387</v>
      </c>
      <c r="B47" s="145" t="s">
        <v>738</v>
      </c>
      <c r="C47" s="87" t="s">
        <v>502</v>
      </c>
      <c r="D47" s="179">
        <v>3</v>
      </c>
      <c r="E47" s="181">
        <v>0.33329999999999999</v>
      </c>
      <c r="F47" s="88">
        <v>42185</v>
      </c>
      <c r="G47" s="101">
        <v>36</v>
      </c>
      <c r="H47" s="201">
        <f>100/G47</f>
        <v>2.7777777777777777</v>
      </c>
      <c r="I47" s="233">
        <f t="shared" ref="I47" si="41">H47*J47</f>
        <v>175</v>
      </c>
      <c r="J47" s="90">
        <f>(YEAR(F47)-YEAR(S47))*12+MONTH(F47)-MONTH(S47)</f>
        <v>63</v>
      </c>
      <c r="K47" s="233">
        <f>L47*H47</f>
        <v>0</v>
      </c>
      <c r="L47" s="90">
        <v>0</v>
      </c>
      <c r="M47" s="233">
        <f>N47*H47</f>
        <v>0</v>
      </c>
      <c r="N47" s="90">
        <v>0</v>
      </c>
      <c r="O47" s="233">
        <f t="shared" ref="O47" si="42">K47-M47</f>
        <v>0</v>
      </c>
      <c r="P47" s="90">
        <f t="shared" ref="P47" si="43">L47-N47</f>
        <v>0</v>
      </c>
      <c r="Q47" s="90">
        <f t="shared" ref="Q47" si="44">M47-O47</f>
        <v>0</v>
      </c>
      <c r="R47" s="179" t="s">
        <v>595</v>
      </c>
      <c r="S47" s="186">
        <v>40267</v>
      </c>
      <c r="T47" s="153">
        <v>6136.98</v>
      </c>
      <c r="U47" s="116">
        <v>4091.5661414999995</v>
      </c>
      <c r="V47" s="222">
        <v>2045.4138585000003</v>
      </c>
      <c r="W47" s="222">
        <f>U47</f>
        <v>4091.5661414999995</v>
      </c>
      <c r="X47" s="89">
        <v>170.45</v>
      </c>
      <c r="Y47" s="152">
        <f>X47*5</f>
        <v>852.25</v>
      </c>
      <c r="Z47" s="341">
        <f>W47-Y47</f>
        <v>3239.3161414999995</v>
      </c>
      <c r="AA47" s="100">
        <v>115.958</v>
      </c>
      <c r="AB47" s="129">
        <v>141.857</v>
      </c>
      <c r="AC47" s="100">
        <f>AA47/AB47</f>
        <v>0.81742881916295984</v>
      </c>
      <c r="AD47" s="98">
        <f>Z47/7</f>
        <v>462.7594487857142</v>
      </c>
      <c r="AE47" s="98">
        <f>AD47*AC47</f>
        <v>378.27290977740853</v>
      </c>
      <c r="AF47" s="98"/>
      <c r="AG47" s="98"/>
      <c r="AH47" s="98"/>
      <c r="AI47" s="98"/>
      <c r="AJ47" s="98"/>
      <c r="AK47" s="98">
        <f>AE47</f>
        <v>378.27290977740853</v>
      </c>
      <c r="AL47" s="98">
        <v>378.27290977740853</v>
      </c>
      <c r="AM47" s="98">
        <v>378.27290977740853</v>
      </c>
      <c r="AN47" s="98">
        <v>378.27290977740853</v>
      </c>
      <c r="AO47" s="98">
        <v>378.27290977740853</v>
      </c>
      <c r="AP47" s="98">
        <v>378.27290977740853</v>
      </c>
      <c r="AQ47" s="98">
        <v>378.27290977740853</v>
      </c>
      <c r="AR47" s="98">
        <f>SUM(AF47:AQ47)</f>
        <v>2647.9103684418596</v>
      </c>
      <c r="AS47" s="116">
        <f>Z47-AR47</f>
        <v>591.40577305813986</v>
      </c>
    </row>
    <row r="48" spans="1:46" s="22" customFormat="1" x14ac:dyDescent="0.2">
      <c r="A48" s="172" t="s">
        <v>74</v>
      </c>
      <c r="B48" s="172" t="s">
        <v>389</v>
      </c>
      <c r="C48" s="87"/>
      <c r="D48" s="179"/>
      <c r="E48" s="184"/>
      <c r="F48" s="88"/>
      <c r="G48" s="101"/>
      <c r="H48" s="201"/>
      <c r="I48" s="233"/>
      <c r="J48" s="90"/>
      <c r="K48" s="233"/>
      <c r="L48" s="90"/>
      <c r="M48" s="233"/>
      <c r="N48" s="90"/>
      <c r="O48" s="233"/>
      <c r="P48" s="90"/>
      <c r="Q48" s="90"/>
      <c r="R48" s="88"/>
      <c r="S48" s="186"/>
      <c r="T48" s="153"/>
      <c r="U48" s="116"/>
      <c r="V48" s="222"/>
      <c r="W48" s="222"/>
      <c r="X48" s="89"/>
      <c r="Y48" s="152"/>
      <c r="Z48" s="341"/>
      <c r="AA48" s="100"/>
      <c r="AB48" s="129"/>
      <c r="AC48" s="100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116"/>
    </row>
    <row r="49" spans="1:45" s="22" customFormat="1" x14ac:dyDescent="0.2">
      <c r="A49" s="172" t="s">
        <v>390</v>
      </c>
      <c r="B49" s="145"/>
      <c r="C49" s="87"/>
      <c r="D49" s="179"/>
      <c r="E49" s="184"/>
      <c r="F49" s="88"/>
      <c r="G49" s="101"/>
      <c r="H49" s="201"/>
      <c r="I49" s="233"/>
      <c r="J49" s="90"/>
      <c r="K49" s="233"/>
      <c r="L49" s="90"/>
      <c r="M49" s="233"/>
      <c r="N49" s="90"/>
      <c r="O49" s="233"/>
      <c r="P49" s="90"/>
      <c r="Q49" s="90"/>
      <c r="R49" s="171"/>
      <c r="S49" s="171"/>
      <c r="T49" s="11"/>
      <c r="U49" s="116"/>
      <c r="V49" s="222"/>
      <c r="W49" s="222"/>
      <c r="X49" s="89"/>
      <c r="Y49" s="152"/>
      <c r="Z49" s="340"/>
      <c r="AA49" s="100"/>
      <c r="AB49" s="129"/>
      <c r="AC49" s="100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116"/>
    </row>
    <row r="50" spans="1:45" s="22" customFormat="1" x14ac:dyDescent="0.2">
      <c r="A50" s="171" t="s">
        <v>391</v>
      </c>
      <c r="B50" s="145" t="s">
        <v>739</v>
      </c>
      <c r="C50" s="87" t="s">
        <v>502</v>
      </c>
      <c r="D50" s="179">
        <v>10</v>
      </c>
      <c r="E50" s="184">
        <v>0.1</v>
      </c>
      <c r="F50" s="88">
        <v>42185</v>
      </c>
      <c r="G50" s="101">
        <v>120</v>
      </c>
      <c r="H50" s="201">
        <f>100/G50</f>
        <v>0.83333333333333337</v>
      </c>
      <c r="I50" s="233">
        <f t="shared" ref="I50" si="45">H50*J50</f>
        <v>44.166666666666671</v>
      </c>
      <c r="J50" s="90">
        <f>(YEAR(F50)-YEAR(S50))*12+MONTH(F50)-MONTH(S50)</f>
        <v>53</v>
      </c>
      <c r="K50" s="233">
        <f>L50*H50</f>
        <v>55.833333333333336</v>
      </c>
      <c r="L50" s="90">
        <f>G50-J50</f>
        <v>67</v>
      </c>
      <c r="M50" s="233">
        <f>N50*H50</f>
        <v>5.8333333333333339</v>
      </c>
      <c r="N50" s="90">
        <v>7</v>
      </c>
      <c r="O50" s="233">
        <f t="shared" ref="O50" si="46">K50-M50</f>
        <v>50</v>
      </c>
      <c r="P50" s="90">
        <f t="shared" ref="P50" si="47">L50-N50</f>
        <v>60</v>
      </c>
      <c r="Q50" s="90">
        <f t="shared" ref="Q50" si="48">M50-O50</f>
        <v>-44.166666666666664</v>
      </c>
      <c r="R50" s="179" t="s">
        <v>595</v>
      </c>
      <c r="S50" s="171">
        <v>40544</v>
      </c>
      <c r="T50" s="11">
        <v>6000</v>
      </c>
      <c r="U50" s="116">
        <v>3600</v>
      </c>
      <c r="V50" s="222">
        <v>600</v>
      </c>
      <c r="W50" s="222">
        <f>U50</f>
        <v>3600</v>
      </c>
      <c r="X50" s="89">
        <v>50</v>
      </c>
      <c r="Y50" s="152">
        <f>X50*5</f>
        <v>250</v>
      </c>
      <c r="Z50" s="341">
        <f>W50-Y50</f>
        <v>3350</v>
      </c>
      <c r="AA50" s="100">
        <v>115.958</v>
      </c>
      <c r="AB50" s="129">
        <v>100.22799999999999</v>
      </c>
      <c r="AC50" s="100">
        <f>AA50/AB50</f>
        <v>1.1569421718481863</v>
      </c>
      <c r="AD50" s="98">
        <f>Z50*M50/100/K50*100/7</f>
        <v>50</v>
      </c>
      <c r="AE50" s="98">
        <f>AD50*AC50</f>
        <v>57.847108592409313</v>
      </c>
      <c r="AF50" s="98"/>
      <c r="AG50" s="98"/>
      <c r="AH50" s="98"/>
      <c r="AI50" s="98"/>
      <c r="AJ50" s="98"/>
      <c r="AK50" s="98">
        <f>AE50</f>
        <v>57.847108592409313</v>
      </c>
      <c r="AL50" s="98">
        <v>57.847108592409313</v>
      </c>
      <c r="AM50" s="98">
        <v>57.847108592409313</v>
      </c>
      <c r="AN50" s="98">
        <v>57.847108592409313</v>
      </c>
      <c r="AO50" s="98">
        <v>57.847108592409313</v>
      </c>
      <c r="AP50" s="98">
        <v>57.847108592409313</v>
      </c>
      <c r="AQ50" s="98">
        <v>57.847108592409313</v>
      </c>
      <c r="AR50" s="98">
        <f>SUM(AF50:AQ50)</f>
        <v>404.92976014686519</v>
      </c>
      <c r="AS50" s="116">
        <f>Z50-AR50</f>
        <v>2945.0702398531348</v>
      </c>
    </row>
    <row r="51" spans="1:45" s="22" customFormat="1" x14ac:dyDescent="0.2">
      <c r="A51" s="172" t="s">
        <v>74</v>
      </c>
      <c r="B51" s="172" t="s">
        <v>393</v>
      </c>
      <c r="C51" s="87"/>
      <c r="D51" s="179"/>
      <c r="E51" s="184"/>
      <c r="F51" s="88"/>
      <c r="G51" s="101"/>
      <c r="H51" s="201"/>
      <c r="I51" s="233"/>
      <c r="J51" s="90"/>
      <c r="K51" s="233"/>
      <c r="L51" s="90"/>
      <c r="M51" s="233"/>
      <c r="N51" s="90"/>
      <c r="O51" s="233"/>
      <c r="P51" s="90"/>
      <c r="Q51" s="90"/>
      <c r="R51" s="171"/>
      <c r="S51" s="182"/>
      <c r="T51" s="11"/>
      <c r="U51" s="116"/>
      <c r="V51" s="222"/>
      <c r="W51" s="222"/>
      <c r="X51" s="89"/>
      <c r="Y51" s="152"/>
      <c r="Z51" s="340"/>
      <c r="AA51" s="100"/>
      <c r="AB51" s="129"/>
      <c r="AC51" s="100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116"/>
    </row>
    <row r="52" spans="1:45" s="22" customFormat="1" x14ac:dyDescent="0.2">
      <c r="A52" s="172" t="s">
        <v>392</v>
      </c>
      <c r="B52" s="145"/>
      <c r="C52" s="87"/>
      <c r="D52" s="179"/>
      <c r="E52" s="184"/>
      <c r="F52" s="88"/>
      <c r="G52" s="101"/>
      <c r="H52" s="201"/>
      <c r="I52" s="233"/>
      <c r="J52" s="90"/>
      <c r="K52" s="233"/>
      <c r="L52" s="90"/>
      <c r="M52" s="233"/>
      <c r="N52" s="90"/>
      <c r="O52" s="233"/>
      <c r="P52" s="90"/>
      <c r="Q52" s="90"/>
      <c r="R52" s="88"/>
      <c r="S52" s="186"/>
      <c r="T52" s="153"/>
      <c r="U52" s="116"/>
      <c r="V52" s="222"/>
      <c r="W52" s="222"/>
      <c r="X52" s="89"/>
      <c r="Y52" s="152"/>
      <c r="Z52" s="341"/>
      <c r="AA52" s="100"/>
      <c r="AB52" s="129"/>
      <c r="AC52" s="100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116"/>
    </row>
    <row r="53" spans="1:45" s="22" customFormat="1" x14ac:dyDescent="0.2">
      <c r="A53" s="171" t="s">
        <v>394</v>
      </c>
      <c r="B53" s="145" t="s">
        <v>393</v>
      </c>
      <c r="C53" s="87" t="s">
        <v>502</v>
      </c>
      <c r="D53" s="179">
        <v>10</v>
      </c>
      <c r="E53" s="184">
        <v>0.1</v>
      </c>
      <c r="F53" s="88">
        <v>42185</v>
      </c>
      <c r="G53" s="101">
        <v>120</v>
      </c>
      <c r="H53" s="201">
        <f>100/G53</f>
        <v>0.83333333333333337</v>
      </c>
      <c r="I53" s="233">
        <f t="shared" ref="I53" si="49">H53*J53</f>
        <v>83.333333333333343</v>
      </c>
      <c r="J53" s="90">
        <f>(YEAR(F53)-YEAR(S53))*12+MONTH(F53)-MONTH(S53)</f>
        <v>100</v>
      </c>
      <c r="K53" s="233">
        <f>L53*H53</f>
        <v>16.666666666666668</v>
      </c>
      <c r="L53" s="90">
        <f>G53-J53</f>
        <v>20</v>
      </c>
      <c r="M53" s="233">
        <f>N53*H53</f>
        <v>5.8333333333333339</v>
      </c>
      <c r="N53" s="90">
        <v>7</v>
      </c>
      <c r="O53" s="233">
        <f t="shared" ref="O53" si="50">K53-M53</f>
        <v>10.833333333333334</v>
      </c>
      <c r="P53" s="90">
        <f t="shared" ref="P53" si="51">L53-N53</f>
        <v>13</v>
      </c>
      <c r="Q53" s="90">
        <f t="shared" ref="Q53" si="52">M53-O53</f>
        <v>-5</v>
      </c>
      <c r="R53" s="179" t="s">
        <v>595</v>
      </c>
      <c r="S53" s="171">
        <v>39133</v>
      </c>
      <c r="T53" s="11">
        <v>17232.75</v>
      </c>
      <c r="U53" s="116">
        <v>3590.1224999999972</v>
      </c>
      <c r="V53" s="222">
        <v>1723.3087500000006</v>
      </c>
      <c r="W53" s="222">
        <f>U53</f>
        <v>3590.1224999999972</v>
      </c>
      <c r="X53" s="89">
        <v>143.61000000000001</v>
      </c>
      <c r="Y53" s="152">
        <f>X53*5</f>
        <v>718.05000000000007</v>
      </c>
      <c r="Z53" s="341">
        <f>W53-Y53</f>
        <v>2872.072499999997</v>
      </c>
      <c r="AA53" s="100">
        <v>115.958</v>
      </c>
      <c r="AB53" s="129">
        <v>121.98</v>
      </c>
      <c r="AC53" s="100">
        <f>AA53/AB53</f>
        <v>0.95063125102475809</v>
      </c>
      <c r="AD53" s="98">
        <f>Z53*M53/100/K53*100/7</f>
        <v>143.60362499999985</v>
      </c>
      <c r="AE53" s="98">
        <f>AD53*AC53</f>
        <v>136.51409368544009</v>
      </c>
      <c r="AF53" s="98"/>
      <c r="AG53" s="98"/>
      <c r="AH53" s="98"/>
      <c r="AI53" s="98"/>
      <c r="AJ53" s="98"/>
      <c r="AK53" s="98">
        <f>AE53</f>
        <v>136.51409368544009</v>
      </c>
      <c r="AL53" s="98">
        <v>136.51409368544009</v>
      </c>
      <c r="AM53" s="98">
        <v>136.51409368544009</v>
      </c>
      <c r="AN53" s="98">
        <v>136.51409368544009</v>
      </c>
      <c r="AO53" s="98">
        <v>136.51409368544009</v>
      </c>
      <c r="AP53" s="98">
        <v>136.51409368544009</v>
      </c>
      <c r="AQ53" s="98">
        <v>136.51409368544009</v>
      </c>
      <c r="AR53" s="98">
        <f>SUM(AF53:AQ53)</f>
        <v>955.5986557980807</v>
      </c>
      <c r="AS53" s="116">
        <f>Z53-AR53</f>
        <v>1916.4738442019163</v>
      </c>
    </row>
    <row r="54" spans="1:45" s="22" customFormat="1" x14ac:dyDescent="0.2">
      <c r="A54" s="172" t="s">
        <v>74</v>
      </c>
      <c r="B54" s="172" t="s">
        <v>396</v>
      </c>
      <c r="C54" s="87"/>
      <c r="D54" s="179"/>
      <c r="E54" s="184"/>
      <c r="F54" s="88"/>
      <c r="G54" s="101"/>
      <c r="H54" s="201"/>
      <c r="I54" s="233"/>
      <c r="J54" s="90"/>
      <c r="K54" s="233"/>
      <c r="L54" s="90"/>
      <c r="M54" s="233"/>
      <c r="N54" s="90"/>
      <c r="O54" s="233"/>
      <c r="P54" s="90"/>
      <c r="Q54" s="90"/>
      <c r="R54" s="88"/>
      <c r="S54" s="182"/>
      <c r="T54" s="183"/>
      <c r="U54" s="160"/>
      <c r="V54" s="222"/>
      <c r="W54" s="222"/>
      <c r="X54" s="89"/>
      <c r="Y54" s="152"/>
      <c r="Z54" s="341"/>
      <c r="AA54" s="100"/>
      <c r="AB54" s="125"/>
      <c r="AC54" s="100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116"/>
    </row>
    <row r="55" spans="1:45" s="22" customFormat="1" x14ac:dyDescent="0.2">
      <c r="A55" s="172" t="s">
        <v>395</v>
      </c>
      <c r="B55" s="145"/>
      <c r="C55" s="87"/>
      <c r="D55" s="179"/>
      <c r="E55" s="184"/>
      <c r="F55" s="88"/>
      <c r="G55" s="101"/>
      <c r="H55" s="201"/>
      <c r="I55" s="233"/>
      <c r="J55" s="90"/>
      <c r="K55" s="233"/>
      <c r="L55" s="90"/>
      <c r="M55" s="233"/>
      <c r="N55" s="90"/>
      <c r="O55" s="233"/>
      <c r="P55" s="90"/>
      <c r="Q55" s="90"/>
      <c r="R55" s="88"/>
      <c r="S55" s="182"/>
      <c r="T55" s="11"/>
      <c r="U55" s="116"/>
      <c r="V55" s="222"/>
      <c r="W55" s="222"/>
      <c r="X55" s="89"/>
      <c r="Y55" s="152"/>
      <c r="Z55" s="341"/>
      <c r="AA55" s="100"/>
      <c r="AB55" s="100"/>
      <c r="AC55" s="100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116"/>
    </row>
    <row r="56" spans="1:45" s="22" customFormat="1" x14ac:dyDescent="0.2">
      <c r="A56" s="171" t="s">
        <v>397</v>
      </c>
      <c r="B56" s="145" t="s">
        <v>396</v>
      </c>
      <c r="C56" s="87" t="s">
        <v>502</v>
      </c>
      <c r="D56" s="179">
        <v>10</v>
      </c>
      <c r="E56" s="184">
        <v>0.1</v>
      </c>
      <c r="F56" s="88">
        <v>42185</v>
      </c>
      <c r="G56" s="101">
        <v>120</v>
      </c>
      <c r="H56" s="201">
        <f>100/G56</f>
        <v>0.83333333333333337</v>
      </c>
      <c r="I56" s="233">
        <f t="shared" ref="I56" si="53">H56*J56</f>
        <v>14.166666666666668</v>
      </c>
      <c r="J56" s="90">
        <f>(YEAR(F56)-YEAR(S56))*12+MONTH(F56)-MONTH(S56)</f>
        <v>17</v>
      </c>
      <c r="K56" s="233">
        <f>L56*H56</f>
        <v>85.833333333333343</v>
      </c>
      <c r="L56" s="90">
        <f>G56-J56</f>
        <v>103</v>
      </c>
      <c r="M56" s="233">
        <f>N56*H56</f>
        <v>5.8333333333333339</v>
      </c>
      <c r="N56" s="90">
        <v>7</v>
      </c>
      <c r="O56" s="233">
        <f t="shared" ref="O56" si="54">K56-M56</f>
        <v>80.000000000000014</v>
      </c>
      <c r="P56" s="90">
        <f t="shared" ref="P56" si="55">L56-N56</f>
        <v>96</v>
      </c>
      <c r="Q56" s="90">
        <f t="shared" ref="Q56" si="56">M56-O56</f>
        <v>-74.166666666666686</v>
      </c>
      <c r="R56" s="179" t="s">
        <v>595</v>
      </c>
      <c r="S56" s="182">
        <v>41640</v>
      </c>
      <c r="T56" s="333">
        <v>3300</v>
      </c>
      <c r="U56" s="116">
        <v>2970</v>
      </c>
      <c r="V56" s="222">
        <v>330</v>
      </c>
      <c r="W56" s="222">
        <f>U56</f>
        <v>2970</v>
      </c>
      <c r="X56" s="89">
        <v>27.5</v>
      </c>
      <c r="Y56" s="152">
        <f>X56*5</f>
        <v>137.5</v>
      </c>
      <c r="Z56" s="341">
        <f>W56-Y56</f>
        <v>2832.5</v>
      </c>
      <c r="AA56" s="100">
        <v>115.958</v>
      </c>
      <c r="AB56" s="129">
        <v>112.505</v>
      </c>
      <c r="AC56" s="100">
        <f>AA56/AB56</f>
        <v>1.0306919692458114</v>
      </c>
      <c r="AD56" s="98">
        <f>Z56*M56/100/K56*100/7</f>
        <v>27.5</v>
      </c>
      <c r="AE56" s="98">
        <f>AD56*AC56</f>
        <v>28.344029154259815</v>
      </c>
      <c r="AF56" s="98"/>
      <c r="AG56" s="98"/>
      <c r="AH56" s="98"/>
      <c r="AI56" s="98"/>
      <c r="AJ56" s="98"/>
      <c r="AK56" s="98">
        <f>AE56</f>
        <v>28.344029154259815</v>
      </c>
      <c r="AL56" s="98">
        <v>28.344029154259815</v>
      </c>
      <c r="AM56" s="98">
        <v>28.344029154259815</v>
      </c>
      <c r="AN56" s="98">
        <v>28.344029154259815</v>
      </c>
      <c r="AO56" s="98">
        <v>28.344029154259815</v>
      </c>
      <c r="AP56" s="98">
        <v>28.344029154259815</v>
      </c>
      <c r="AQ56" s="98">
        <v>28.344029154259815</v>
      </c>
      <c r="AR56" s="98">
        <f>SUM(AF56:AQ56)</f>
        <v>198.40820407981874</v>
      </c>
      <c r="AS56" s="116">
        <f>Z56-AR56</f>
        <v>2634.0917959201811</v>
      </c>
    </row>
    <row r="57" spans="1:45" s="22" customFormat="1" x14ac:dyDescent="0.2">
      <c r="A57" s="172" t="s">
        <v>74</v>
      </c>
      <c r="B57" s="172" t="s">
        <v>399</v>
      </c>
      <c r="C57" s="87"/>
      <c r="D57" s="179"/>
      <c r="E57" s="184"/>
      <c r="F57" s="88"/>
      <c r="G57" s="101"/>
      <c r="H57" s="201"/>
      <c r="I57" s="90"/>
      <c r="J57" s="90"/>
      <c r="K57" s="90"/>
      <c r="L57" s="90"/>
      <c r="M57" s="90"/>
      <c r="N57" s="90"/>
      <c r="O57" s="90"/>
      <c r="P57" s="90"/>
      <c r="Q57" s="90"/>
      <c r="R57" s="88"/>
      <c r="S57" s="186"/>
      <c r="T57" s="153"/>
      <c r="U57" s="116"/>
      <c r="V57" s="222"/>
      <c r="W57" s="222"/>
      <c r="X57" s="89"/>
      <c r="Y57" s="152"/>
      <c r="Z57" s="341"/>
      <c r="AA57" s="100"/>
      <c r="AB57" s="129"/>
      <c r="AC57" s="100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116"/>
    </row>
    <row r="58" spans="1:45" s="22" customFormat="1" x14ac:dyDescent="0.2">
      <c r="A58" s="172" t="s">
        <v>398</v>
      </c>
      <c r="B58" s="145"/>
      <c r="C58" s="87"/>
      <c r="D58" s="179"/>
      <c r="E58" s="184"/>
      <c r="F58" s="88"/>
      <c r="G58" s="101"/>
      <c r="H58" s="201"/>
      <c r="I58" s="233"/>
      <c r="J58" s="90"/>
      <c r="K58" s="233"/>
      <c r="L58" s="90"/>
      <c r="M58" s="233"/>
      <c r="N58" s="90"/>
      <c r="O58" s="233"/>
      <c r="P58" s="90"/>
      <c r="Q58" s="90"/>
      <c r="R58" s="179"/>
      <c r="S58" s="186"/>
      <c r="T58" s="153"/>
      <c r="U58" s="116"/>
      <c r="V58" s="222"/>
      <c r="W58" s="222"/>
      <c r="X58" s="89"/>
      <c r="Y58" s="152"/>
      <c r="Z58" s="340"/>
      <c r="AA58" s="100"/>
      <c r="AB58" s="129"/>
      <c r="AC58" s="100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116"/>
    </row>
    <row r="59" spans="1:45" s="22" customFormat="1" x14ac:dyDescent="0.2">
      <c r="A59" s="171" t="s">
        <v>400</v>
      </c>
      <c r="B59" s="145" t="s">
        <v>399</v>
      </c>
      <c r="C59" s="87" t="s">
        <v>502</v>
      </c>
      <c r="D59" s="179">
        <v>10</v>
      </c>
      <c r="E59" s="184">
        <v>0.1</v>
      </c>
      <c r="F59" s="88">
        <v>42185</v>
      </c>
      <c r="G59" s="101">
        <v>120</v>
      </c>
      <c r="H59" s="201">
        <f>100/G59</f>
        <v>0.83333333333333337</v>
      </c>
      <c r="I59" s="233">
        <f t="shared" ref="I59" si="57">H59*J59</f>
        <v>14.166666666666668</v>
      </c>
      <c r="J59" s="90">
        <f>(YEAR(F59)-YEAR(S59))*12+MONTH(F59)-MONTH(S59)</f>
        <v>17</v>
      </c>
      <c r="K59" s="233">
        <f>L59*H59</f>
        <v>85.833333333333343</v>
      </c>
      <c r="L59" s="90">
        <f>G59-J59</f>
        <v>103</v>
      </c>
      <c r="M59" s="233">
        <f>N59*H59</f>
        <v>5.8333333333333339</v>
      </c>
      <c r="N59" s="90">
        <v>7</v>
      </c>
      <c r="O59" s="233">
        <f t="shared" ref="O59" si="58">K59-M59</f>
        <v>80.000000000000014</v>
      </c>
      <c r="P59" s="90">
        <f t="shared" ref="P59" si="59">L59-N59</f>
        <v>96</v>
      </c>
      <c r="Q59" s="90">
        <f t="shared" ref="Q59" si="60">M59-O59</f>
        <v>-74.166666666666686</v>
      </c>
      <c r="R59" s="179" t="s">
        <v>595</v>
      </c>
      <c r="S59" s="171">
        <v>41640</v>
      </c>
      <c r="T59" s="11">
        <v>150</v>
      </c>
      <c r="U59" s="116">
        <v>135</v>
      </c>
      <c r="V59" s="222">
        <v>15</v>
      </c>
      <c r="W59" s="222">
        <f>U59</f>
        <v>135</v>
      </c>
      <c r="X59" s="89">
        <v>1.25</v>
      </c>
      <c r="Y59" s="152">
        <f>X59*5</f>
        <v>6.25</v>
      </c>
      <c r="Z59" s="341">
        <f>W59-Y59</f>
        <v>128.75</v>
      </c>
      <c r="AA59" s="100">
        <v>115.958</v>
      </c>
      <c r="AB59" s="129">
        <v>108.91800000000001</v>
      </c>
      <c r="AC59" s="100">
        <f>AA59/AB59</f>
        <v>1.0646357810462916</v>
      </c>
      <c r="AD59" s="98">
        <f>Z59*M59/100/K59*100/7</f>
        <v>1.25</v>
      </c>
      <c r="AE59" s="98">
        <f>AD59*AC59</f>
        <v>1.3307947263078646</v>
      </c>
      <c r="AF59" s="98"/>
      <c r="AG59" s="98"/>
      <c r="AH59" s="98"/>
      <c r="AI59" s="98"/>
      <c r="AJ59" s="98"/>
      <c r="AK59" s="98">
        <f>AE59</f>
        <v>1.3307947263078646</v>
      </c>
      <c r="AL59" s="98">
        <v>1.3307947263078646</v>
      </c>
      <c r="AM59" s="98">
        <v>1.3307947263078646</v>
      </c>
      <c r="AN59" s="98">
        <v>1.3307947263078646</v>
      </c>
      <c r="AO59" s="98">
        <v>1.3307947263078646</v>
      </c>
      <c r="AP59" s="98">
        <v>1.3307947263078646</v>
      </c>
      <c r="AQ59" s="98">
        <v>1.3307947263078646</v>
      </c>
      <c r="AR59" s="98">
        <f>SUM(AF59:AQ59)</f>
        <v>9.3155630841550519</v>
      </c>
      <c r="AS59" s="116">
        <f>Z59-AR59</f>
        <v>119.43443691584494</v>
      </c>
    </row>
    <row r="60" spans="1:45" s="22" customFormat="1" x14ac:dyDescent="0.2">
      <c r="A60" s="172" t="s">
        <v>74</v>
      </c>
      <c r="B60" s="172" t="s">
        <v>389</v>
      </c>
      <c r="C60" s="178"/>
      <c r="D60" s="179"/>
      <c r="E60" s="184"/>
      <c r="F60" s="88"/>
      <c r="G60" s="101"/>
      <c r="H60" s="201"/>
      <c r="I60" s="233"/>
      <c r="J60" s="90"/>
      <c r="K60" s="233"/>
      <c r="L60" s="90"/>
      <c r="M60" s="233"/>
      <c r="N60" s="90"/>
      <c r="O60" s="233"/>
      <c r="P60" s="90"/>
      <c r="Q60" s="90"/>
      <c r="R60" s="179"/>
      <c r="S60" s="171"/>
      <c r="T60" s="11"/>
      <c r="U60" s="160"/>
      <c r="V60" s="222"/>
      <c r="W60" s="222"/>
      <c r="X60" s="89"/>
      <c r="Y60" s="152"/>
      <c r="Z60" s="340"/>
      <c r="AA60" s="100"/>
      <c r="AB60" s="196"/>
      <c r="AC60" s="100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116"/>
    </row>
    <row r="61" spans="1:45" s="22" customFormat="1" x14ac:dyDescent="0.2">
      <c r="A61" s="172" t="s">
        <v>388</v>
      </c>
      <c r="B61" s="145"/>
      <c r="C61" s="87"/>
      <c r="D61" s="179"/>
      <c r="E61" s="184"/>
      <c r="F61" s="88"/>
      <c r="G61" s="101"/>
      <c r="H61" s="201"/>
      <c r="I61" s="233"/>
      <c r="J61" s="90"/>
      <c r="K61" s="233"/>
      <c r="L61" s="90"/>
      <c r="M61" s="233"/>
      <c r="N61" s="90"/>
      <c r="O61" s="233"/>
      <c r="P61" s="90"/>
      <c r="Q61" s="90"/>
      <c r="R61" s="179"/>
      <c r="S61" s="182"/>
      <c r="T61" s="11"/>
      <c r="U61" s="116"/>
      <c r="V61" s="222"/>
      <c r="W61" s="222"/>
      <c r="X61" s="89"/>
      <c r="Y61" s="152"/>
      <c r="Z61" s="340"/>
      <c r="AA61" s="100"/>
      <c r="AB61" s="129"/>
      <c r="AC61" s="100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116"/>
    </row>
    <row r="62" spans="1:45" s="22" customFormat="1" x14ac:dyDescent="0.2">
      <c r="A62" s="171" t="s">
        <v>401</v>
      </c>
      <c r="B62" s="145" t="s">
        <v>740</v>
      </c>
      <c r="C62" s="87" t="s">
        <v>502</v>
      </c>
      <c r="D62" s="179">
        <v>10</v>
      </c>
      <c r="E62" s="184">
        <v>0.1</v>
      </c>
      <c r="F62" s="88">
        <v>42185</v>
      </c>
      <c r="G62" s="101">
        <v>120</v>
      </c>
      <c r="H62" s="201">
        <f>100/G62</f>
        <v>0.83333333333333337</v>
      </c>
      <c r="I62" s="233">
        <f t="shared" ref="I62:I63" si="61">H62*J62</f>
        <v>14.166666666666668</v>
      </c>
      <c r="J62" s="90">
        <f>(YEAR(F62)-YEAR(S62))*12+MONTH(F62)-MONTH(S62)</f>
        <v>17</v>
      </c>
      <c r="K62" s="233">
        <f>L62*H62</f>
        <v>85.833333333333343</v>
      </c>
      <c r="L62" s="90">
        <f>G62-J62</f>
        <v>103</v>
      </c>
      <c r="M62" s="233">
        <f>N62*H62</f>
        <v>5.8333333333333339</v>
      </c>
      <c r="N62" s="90">
        <v>7</v>
      </c>
      <c r="O62" s="233">
        <f t="shared" ref="O62:O63" si="62">K62-M62</f>
        <v>80.000000000000014</v>
      </c>
      <c r="P62" s="90">
        <f t="shared" ref="P62:P63" si="63">L62-N62</f>
        <v>96</v>
      </c>
      <c r="Q62" s="90">
        <f t="shared" ref="Q62:Q63" si="64">M62-O62</f>
        <v>-74.166666666666686</v>
      </c>
      <c r="R62" s="179" t="s">
        <v>595</v>
      </c>
      <c r="S62" s="186">
        <v>41640</v>
      </c>
      <c r="T62" s="153">
        <v>950</v>
      </c>
      <c r="U62" s="116">
        <v>854.97</v>
      </c>
      <c r="V62" s="222">
        <v>95.030000000000015</v>
      </c>
      <c r="W62" s="222">
        <f>U62</f>
        <v>854.97</v>
      </c>
      <c r="X62" s="89">
        <v>7.92</v>
      </c>
      <c r="Y62" s="152">
        <f>X62*5</f>
        <v>39.6</v>
      </c>
      <c r="Z62" s="341">
        <f>W62-Y62</f>
        <v>815.37</v>
      </c>
      <c r="AA62" s="100">
        <v>115.958</v>
      </c>
      <c r="AB62" s="129">
        <v>112.505</v>
      </c>
      <c r="AC62" s="100">
        <f>AA62/AB62</f>
        <v>1.0306919692458114</v>
      </c>
      <c r="AD62" s="98">
        <f>Z62*M62/100/K62*100/7</f>
        <v>7.916213592233011</v>
      </c>
      <c r="AE62" s="98">
        <f>AD62*AC62</f>
        <v>8.1591777763491002</v>
      </c>
      <c r="AF62" s="98"/>
      <c r="AG62" s="98"/>
      <c r="AH62" s="98"/>
      <c r="AI62" s="98"/>
      <c r="AJ62" s="98"/>
      <c r="AK62" s="98">
        <f>AE62</f>
        <v>8.1591777763491002</v>
      </c>
      <c r="AL62" s="98">
        <v>8.1591777763491002</v>
      </c>
      <c r="AM62" s="98">
        <v>8.1591777763491002</v>
      </c>
      <c r="AN62" s="98">
        <v>8.1591777763491002</v>
      </c>
      <c r="AO62" s="98">
        <v>8.1591777763491002</v>
      </c>
      <c r="AP62" s="98">
        <v>8.1591777763491002</v>
      </c>
      <c r="AQ62" s="98">
        <v>8.1591777763491002</v>
      </c>
      <c r="AR62" s="98">
        <f>SUM(AF62:AQ62)</f>
        <v>57.114244434443691</v>
      </c>
      <c r="AS62" s="116">
        <f>Z62-AR62</f>
        <v>758.25575556555634</v>
      </c>
    </row>
    <row r="63" spans="1:45" s="22" customFormat="1" x14ac:dyDescent="0.2">
      <c r="A63" s="171" t="s">
        <v>401</v>
      </c>
      <c r="B63" s="145" t="s">
        <v>741</v>
      </c>
      <c r="C63" s="87" t="s">
        <v>502</v>
      </c>
      <c r="D63" s="179">
        <v>10</v>
      </c>
      <c r="E63" s="184">
        <v>0.1</v>
      </c>
      <c r="F63" s="88">
        <v>42185</v>
      </c>
      <c r="G63" s="101">
        <v>120</v>
      </c>
      <c r="H63" s="201">
        <f>100/G63</f>
        <v>0.83333333333333337</v>
      </c>
      <c r="I63" s="233">
        <f t="shared" si="61"/>
        <v>15.833333333333334</v>
      </c>
      <c r="J63" s="90">
        <f>(YEAR(F63)-YEAR(S63))*12+MONTH(F63)-MONTH(S63)</f>
        <v>19</v>
      </c>
      <c r="K63" s="233">
        <f>L63*H63</f>
        <v>84.166666666666671</v>
      </c>
      <c r="L63" s="90">
        <f>G63-J63</f>
        <v>101</v>
      </c>
      <c r="M63" s="233">
        <f>N63*H63</f>
        <v>5.8333333333333339</v>
      </c>
      <c r="N63" s="90">
        <v>7</v>
      </c>
      <c r="O63" s="233">
        <f t="shared" si="62"/>
        <v>78.333333333333343</v>
      </c>
      <c r="P63" s="90">
        <f t="shared" si="63"/>
        <v>94</v>
      </c>
      <c r="Q63" s="90">
        <f t="shared" si="64"/>
        <v>-72.500000000000014</v>
      </c>
      <c r="R63" s="179" t="s">
        <v>595</v>
      </c>
      <c r="S63" s="171">
        <v>41579</v>
      </c>
      <c r="T63" s="11">
        <v>150</v>
      </c>
      <c r="U63" s="116">
        <v>132.5</v>
      </c>
      <c r="V63" s="222">
        <v>15</v>
      </c>
      <c r="W63" s="222">
        <f>U63</f>
        <v>132.5</v>
      </c>
      <c r="X63" s="89">
        <v>1.25</v>
      </c>
      <c r="Y63" s="152">
        <f>X63*5</f>
        <v>6.25</v>
      </c>
      <c r="Z63" s="341">
        <f>W63-Y63</f>
        <v>126.25</v>
      </c>
      <c r="AA63" s="100">
        <v>115.958</v>
      </c>
      <c r="AB63" s="129">
        <v>110.872</v>
      </c>
      <c r="AC63" s="100">
        <f>AA63/AB63</f>
        <v>1.0458727180893281</v>
      </c>
      <c r="AD63" s="98">
        <f>Z63*M63/100/K63*100/7</f>
        <v>1.25</v>
      </c>
      <c r="AE63" s="98">
        <f>AD63*AC63</f>
        <v>1.3073408976116601</v>
      </c>
      <c r="AF63" s="98"/>
      <c r="AG63" s="98"/>
      <c r="AH63" s="98"/>
      <c r="AI63" s="98"/>
      <c r="AJ63" s="98"/>
      <c r="AK63" s="98">
        <f>AE63</f>
        <v>1.3073408976116601</v>
      </c>
      <c r="AL63" s="98">
        <v>1.3073408976116601</v>
      </c>
      <c r="AM63" s="98">
        <v>1.3073408976116601</v>
      </c>
      <c r="AN63" s="98">
        <v>1.3073408976116601</v>
      </c>
      <c r="AO63" s="98">
        <v>1.3073408976116601</v>
      </c>
      <c r="AP63" s="98">
        <v>1.3073408976116601</v>
      </c>
      <c r="AQ63" s="98">
        <v>1.3073408976116601</v>
      </c>
      <c r="AR63" s="98">
        <f>SUM(AF63:AQ63)</f>
        <v>9.1513862832816191</v>
      </c>
      <c r="AS63" s="116">
        <f>Z63-AR63</f>
        <v>117.09861371671838</v>
      </c>
    </row>
    <row r="64" spans="1:45" s="22" customFormat="1" x14ac:dyDescent="0.2">
      <c r="A64" s="171" t="s">
        <v>401</v>
      </c>
      <c r="B64" s="145" t="s">
        <v>742</v>
      </c>
      <c r="C64" s="87" t="s">
        <v>502</v>
      </c>
      <c r="D64" s="179">
        <v>10</v>
      </c>
      <c r="E64" s="184">
        <v>0.1</v>
      </c>
      <c r="F64" s="88">
        <v>42185</v>
      </c>
      <c r="G64" s="101">
        <v>120</v>
      </c>
      <c r="H64" s="201">
        <f>100/G64</f>
        <v>0.83333333333333337</v>
      </c>
      <c r="I64" s="233">
        <f t="shared" ref="I64:I65" si="65">H64*J64</f>
        <v>30</v>
      </c>
      <c r="J64" s="90">
        <v>36</v>
      </c>
      <c r="K64" s="233">
        <f>L64*H64</f>
        <v>70</v>
      </c>
      <c r="L64" s="90">
        <f>G64-J64</f>
        <v>84</v>
      </c>
      <c r="M64" s="233">
        <f>N64*H64</f>
        <v>5.8333333333333339</v>
      </c>
      <c r="N64" s="90">
        <v>7</v>
      </c>
      <c r="O64" s="233">
        <f t="shared" ref="O64:O65" si="66">K64-M64</f>
        <v>64.166666666666671</v>
      </c>
      <c r="P64" s="90">
        <f t="shared" ref="P64:P65" si="67">L64-N64</f>
        <v>77</v>
      </c>
      <c r="Q64" s="90">
        <f t="shared" ref="Q64:Q65" si="68">M64-O64</f>
        <v>-58.333333333333336</v>
      </c>
      <c r="R64" s="171" t="s">
        <v>595</v>
      </c>
      <c r="S64" s="171">
        <v>41435</v>
      </c>
      <c r="T64" s="200">
        <v>457.6</v>
      </c>
      <c r="U64" s="116">
        <v>411.87</v>
      </c>
      <c r="V64" s="222">
        <v>45.730000000000004</v>
      </c>
      <c r="W64" s="222">
        <f>U64</f>
        <v>411.87</v>
      </c>
      <c r="X64" s="89">
        <v>3.81</v>
      </c>
      <c r="Y64" s="152">
        <f>X64*5</f>
        <v>19.05</v>
      </c>
      <c r="Z64" s="341">
        <f>W64-Y64</f>
        <v>392.82</v>
      </c>
      <c r="AA64" s="100">
        <v>115.958</v>
      </c>
      <c r="AB64" s="129">
        <v>108.645</v>
      </c>
      <c r="AC64" s="100">
        <f>AA64/AB64</f>
        <v>1.0673109669105802</v>
      </c>
      <c r="AD64" s="98">
        <f>Z64*M64/100/K64*100/7</f>
        <v>4.6764285714285716</v>
      </c>
      <c r="AE64" s="342">
        <f>AD64*AC64</f>
        <v>4.9912035002596919</v>
      </c>
      <c r="AF64" s="342"/>
      <c r="AG64" s="342"/>
      <c r="AH64" s="342"/>
      <c r="AI64" s="342"/>
      <c r="AJ64" s="342"/>
      <c r="AK64" s="342">
        <f>AE64</f>
        <v>4.9912035002596919</v>
      </c>
      <c r="AL64" s="342">
        <v>4.9912035002596919</v>
      </c>
      <c r="AM64" s="342">
        <v>4.9912035002596919</v>
      </c>
      <c r="AN64" s="342">
        <v>4.9912035002596919</v>
      </c>
      <c r="AO64" s="342">
        <v>4.9912035002596919</v>
      </c>
      <c r="AP64" s="342">
        <v>4.9912035002596919</v>
      </c>
      <c r="AQ64" s="342">
        <v>4.9912035002596919</v>
      </c>
      <c r="AR64" s="342">
        <f>SUM(AF64:AQ64)</f>
        <v>34.938424501817849</v>
      </c>
      <c r="AS64" s="116">
        <f>Z64-AR64</f>
        <v>357.88157549818214</v>
      </c>
    </row>
    <row r="65" spans="1:45" s="22" customFormat="1" x14ac:dyDescent="0.2">
      <c r="A65" s="171" t="s">
        <v>401</v>
      </c>
      <c r="B65" s="145" t="s">
        <v>743</v>
      </c>
      <c r="C65" s="87" t="s">
        <v>502</v>
      </c>
      <c r="D65" s="179">
        <v>10</v>
      </c>
      <c r="E65" s="184">
        <v>0.1</v>
      </c>
      <c r="F65" s="88">
        <v>42185</v>
      </c>
      <c r="G65" s="101">
        <v>120</v>
      </c>
      <c r="H65" s="201">
        <f>100/G65</f>
        <v>0.83333333333333337</v>
      </c>
      <c r="I65" s="233">
        <f t="shared" si="65"/>
        <v>14.166666666666668</v>
      </c>
      <c r="J65" s="90">
        <f>(YEAR(F65)-YEAR(S65))*12+MONTH(F65)-MONTH(S65)</f>
        <v>17</v>
      </c>
      <c r="K65" s="233">
        <f>L65*H65</f>
        <v>85.833333333333343</v>
      </c>
      <c r="L65" s="90">
        <f>G65-J65</f>
        <v>103</v>
      </c>
      <c r="M65" s="233">
        <f>N65*H65</f>
        <v>5.8333333333333339</v>
      </c>
      <c r="N65" s="90">
        <v>7</v>
      </c>
      <c r="O65" s="233">
        <f t="shared" si="66"/>
        <v>80.000000000000014</v>
      </c>
      <c r="P65" s="90">
        <f t="shared" si="67"/>
        <v>96</v>
      </c>
      <c r="Q65" s="90">
        <f t="shared" si="68"/>
        <v>-74.166666666666686</v>
      </c>
      <c r="R65" s="179" t="s">
        <v>595</v>
      </c>
      <c r="S65" s="171">
        <v>41640</v>
      </c>
      <c r="T65" s="11">
        <v>500</v>
      </c>
      <c r="U65" s="116">
        <v>449.96666666666664</v>
      </c>
      <c r="V65" s="222">
        <v>50.033333333333346</v>
      </c>
      <c r="W65" s="222">
        <f>U65</f>
        <v>449.96666666666664</v>
      </c>
      <c r="X65" s="89">
        <v>4.17</v>
      </c>
      <c r="Y65" s="152">
        <f>X65*5</f>
        <v>20.85</v>
      </c>
      <c r="Z65" s="341">
        <f>W65-Y65</f>
        <v>429.11666666666662</v>
      </c>
      <c r="AA65" s="100">
        <v>115.958</v>
      </c>
      <c r="AB65" s="129">
        <v>112.505</v>
      </c>
      <c r="AC65" s="100">
        <f>AA65/AB65</f>
        <v>1.0306919692458114</v>
      </c>
      <c r="AD65" s="98">
        <f>Z65*M65/100/K65*100/7</f>
        <v>4.1661812297734624</v>
      </c>
      <c r="AE65" s="98">
        <f>AD65*AC65</f>
        <v>4.2940495359501467</v>
      </c>
      <c r="AF65" s="98"/>
      <c r="AG65" s="98"/>
      <c r="AH65" s="98"/>
      <c r="AI65" s="98"/>
      <c r="AJ65" s="98"/>
      <c r="AK65" s="98">
        <f>AE65</f>
        <v>4.2940495359501467</v>
      </c>
      <c r="AL65" s="98">
        <v>4.2940495359501467</v>
      </c>
      <c r="AM65" s="98">
        <v>4.2940495359501467</v>
      </c>
      <c r="AN65" s="98">
        <v>4.2940495359501467</v>
      </c>
      <c r="AO65" s="98">
        <v>4.2940495359501467</v>
      </c>
      <c r="AP65" s="98">
        <v>4.2940495359501467</v>
      </c>
      <c r="AQ65" s="98">
        <v>4.2940495359501467</v>
      </c>
      <c r="AR65" s="98">
        <f>SUM(AF65:AQ65)</f>
        <v>30.05834675165103</v>
      </c>
      <c r="AS65" s="116">
        <f>Z65-AR65</f>
        <v>399.0583199150156</v>
      </c>
    </row>
    <row r="66" spans="1:45" s="22" customFormat="1" x14ac:dyDescent="0.2">
      <c r="A66" s="172" t="s">
        <v>74</v>
      </c>
      <c r="B66" s="172" t="s">
        <v>503</v>
      </c>
      <c r="C66" s="87"/>
      <c r="D66" s="179"/>
      <c r="E66" s="184"/>
      <c r="F66" s="88"/>
      <c r="G66" s="101"/>
      <c r="H66" s="201"/>
      <c r="I66" s="233"/>
      <c r="J66" s="90"/>
      <c r="K66" s="233"/>
      <c r="L66" s="90"/>
      <c r="M66" s="233"/>
      <c r="N66" s="90"/>
      <c r="O66" s="233"/>
      <c r="P66" s="90"/>
      <c r="Q66" s="90"/>
      <c r="R66" s="179"/>
      <c r="S66" s="182"/>
      <c r="T66" s="333"/>
      <c r="U66" s="116"/>
      <c r="V66" s="222"/>
      <c r="W66" s="222"/>
      <c r="X66" s="89"/>
      <c r="Y66" s="152"/>
      <c r="Z66" s="340"/>
      <c r="AA66" s="100"/>
      <c r="AB66" s="195"/>
      <c r="AC66" s="100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116"/>
    </row>
    <row r="67" spans="1:45" s="22" customFormat="1" x14ac:dyDescent="0.2">
      <c r="A67" s="172" t="s">
        <v>744</v>
      </c>
      <c r="B67" s="145"/>
      <c r="C67" s="87"/>
      <c r="D67" s="179"/>
      <c r="E67" s="184"/>
      <c r="F67" s="88"/>
      <c r="G67" s="101"/>
      <c r="H67" s="201"/>
      <c r="I67" s="233"/>
      <c r="J67" s="90"/>
      <c r="K67" s="233"/>
      <c r="L67" s="90"/>
      <c r="M67" s="233"/>
      <c r="N67" s="90"/>
      <c r="O67" s="233"/>
      <c r="P67" s="90"/>
      <c r="Q67" s="90"/>
      <c r="R67" s="179"/>
      <c r="S67" s="182"/>
      <c r="T67" s="11"/>
      <c r="U67" s="116"/>
      <c r="V67" s="222"/>
      <c r="W67" s="222"/>
      <c r="X67" s="89"/>
      <c r="Y67" s="152"/>
      <c r="Z67" s="340"/>
      <c r="AA67" s="100"/>
      <c r="AB67" s="195"/>
      <c r="AC67" s="100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116"/>
    </row>
    <row r="68" spans="1:45" s="22" customFormat="1" x14ac:dyDescent="0.2">
      <c r="A68" s="171" t="s">
        <v>745</v>
      </c>
      <c r="B68" s="145" t="s">
        <v>503</v>
      </c>
      <c r="C68" s="87" t="s">
        <v>502</v>
      </c>
      <c r="D68" s="179">
        <v>10</v>
      </c>
      <c r="E68" s="184">
        <v>0.1</v>
      </c>
      <c r="F68" s="88">
        <v>42185</v>
      </c>
      <c r="G68" s="101">
        <v>120</v>
      </c>
      <c r="H68" s="201">
        <f>100/G68</f>
        <v>0.83333333333333337</v>
      </c>
      <c r="I68" s="233">
        <f t="shared" ref="I68" si="69">H68*J68</f>
        <v>14.166666666666668</v>
      </c>
      <c r="J68" s="90">
        <f>(YEAR(F68)-YEAR(S68))*12+MONTH(F68)-MONTH(S68)</f>
        <v>17</v>
      </c>
      <c r="K68" s="233">
        <f>L68*H68</f>
        <v>85.833333333333343</v>
      </c>
      <c r="L68" s="90">
        <f>G68-J68</f>
        <v>103</v>
      </c>
      <c r="M68" s="233">
        <f>N68*H68</f>
        <v>5.8333333333333339</v>
      </c>
      <c r="N68" s="90">
        <v>7</v>
      </c>
      <c r="O68" s="233">
        <f t="shared" ref="O68" si="70">K68-M68</f>
        <v>80.000000000000014</v>
      </c>
      <c r="P68" s="90">
        <f t="shared" ref="P68" si="71">L68-N68</f>
        <v>96</v>
      </c>
      <c r="Q68" s="90">
        <f t="shared" ref="Q68" si="72">M68-O68</f>
        <v>-74.166666666666686</v>
      </c>
      <c r="R68" s="179" t="s">
        <v>595</v>
      </c>
      <c r="S68" s="171">
        <v>41640</v>
      </c>
      <c r="T68" s="11">
        <v>145</v>
      </c>
      <c r="U68" s="116">
        <v>130.48333333333332</v>
      </c>
      <c r="V68" s="222">
        <v>14.516666666666669</v>
      </c>
      <c r="W68" s="222">
        <f>U68</f>
        <v>130.48333333333332</v>
      </c>
      <c r="X68" s="89">
        <v>1.21</v>
      </c>
      <c r="Y68" s="152">
        <f>X68*5</f>
        <v>6.05</v>
      </c>
      <c r="Z68" s="341">
        <f>W68-Y68</f>
        <v>124.43333333333332</v>
      </c>
      <c r="AA68" s="100">
        <v>115.958</v>
      </c>
      <c r="AB68" s="129">
        <v>108.91800000000001</v>
      </c>
      <c r="AC68" s="100">
        <f>AA68/AB68</f>
        <v>1.0646357810462916</v>
      </c>
      <c r="AD68" s="98">
        <f>Z68*M68/100/K68*100/7</f>
        <v>1.208090614886731</v>
      </c>
      <c r="AE68" s="98">
        <f>AD68*AC68</f>
        <v>1.2861764953546295</v>
      </c>
      <c r="AF68" s="98"/>
      <c r="AG68" s="98"/>
      <c r="AH68" s="98"/>
      <c r="AI68" s="98"/>
      <c r="AJ68" s="98"/>
      <c r="AK68" s="98">
        <f>AE68</f>
        <v>1.2861764953546295</v>
      </c>
      <c r="AL68" s="98">
        <v>1.2861764953546295</v>
      </c>
      <c r="AM68" s="98">
        <v>1.2861764953546295</v>
      </c>
      <c r="AN68" s="98">
        <v>1.2861764953546295</v>
      </c>
      <c r="AO68" s="98">
        <v>1.2861764953546295</v>
      </c>
      <c r="AP68" s="98">
        <v>1.2861764953546295</v>
      </c>
      <c r="AQ68" s="98">
        <v>1.2861764953546295</v>
      </c>
      <c r="AR68" s="98">
        <f>SUM(AF68:AQ68)</f>
        <v>9.0032354674824067</v>
      </c>
      <c r="AS68" s="116">
        <f>Z68-AR68</f>
        <v>115.43009786585091</v>
      </c>
    </row>
    <row r="69" spans="1:45" x14ac:dyDescent="0.2">
      <c r="R69" s="243"/>
      <c r="V69" s="336"/>
      <c r="Y69" s="309"/>
      <c r="AD69" s="263"/>
      <c r="AE69" s="263"/>
      <c r="AF69" s="263">
        <f>SUM(AF33:AF68)</f>
        <v>0</v>
      </c>
      <c r="AG69" s="263">
        <f>SUM(AG33:AG68)</f>
        <v>0</v>
      </c>
      <c r="AH69" s="263">
        <f>SUM(AH33:AH68)</f>
        <v>0</v>
      </c>
      <c r="AI69" s="263">
        <f>SUM(AI33:AI68)</f>
        <v>0</v>
      </c>
      <c r="AJ69" s="263">
        <f>SUM(AJ33:AJ68)</f>
        <v>0</v>
      </c>
      <c r="AK69" s="263">
        <f>SUM(AK15:AK68)</f>
        <v>1435.3337986120987</v>
      </c>
      <c r="AL69" s="263"/>
      <c r="AM69" s="263"/>
      <c r="AN69" s="263"/>
      <c r="AO69" s="263"/>
      <c r="AP69" s="263">
        <v>0</v>
      </c>
      <c r="AQ69" s="263">
        <f t="shared" ref="AQ69:AR69" si="73">SUM(AQ15:AQ68)</f>
        <v>1389.4603474493317</v>
      </c>
      <c r="AR69" s="263">
        <f t="shared" si="73"/>
        <v>10001.463139121926</v>
      </c>
      <c r="AS69" s="263">
        <f>SUM(AS15:AS68)</f>
        <v>20006.686294044743</v>
      </c>
    </row>
    <row r="70" spans="1:45" s="150" customFormat="1" x14ac:dyDescent="0.2">
      <c r="A70" s="156" t="s">
        <v>460</v>
      </c>
      <c r="B70" s="132"/>
      <c r="C70" s="132"/>
      <c r="D70" s="133"/>
      <c r="E70" s="133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4"/>
      <c r="S70" s="134"/>
      <c r="T70" s="135"/>
      <c r="U70" s="135"/>
      <c r="V70" s="135"/>
      <c r="W70" s="135"/>
      <c r="X70" s="135"/>
      <c r="Z70"/>
      <c r="AA70"/>
      <c r="AB70" s="12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 s="113"/>
    </row>
    <row r="71" spans="1:45" s="150" customFormat="1" x14ac:dyDescent="0.2">
      <c r="A71" s="310" t="s">
        <v>719</v>
      </c>
      <c r="B71" s="311"/>
      <c r="C71" s="311"/>
      <c r="D71" s="312"/>
      <c r="E71" s="312"/>
      <c r="F71"/>
      <c r="G71"/>
      <c r="H71"/>
      <c r="I71"/>
      <c r="J71"/>
      <c r="K71"/>
      <c r="L71"/>
      <c r="M71"/>
      <c r="N71"/>
      <c r="O71"/>
      <c r="P71"/>
      <c r="Q71"/>
      <c r="R71" s="28"/>
      <c r="S71" s="28"/>
      <c r="T71" s="16"/>
      <c r="U71" s="16"/>
      <c r="V71" s="16"/>
      <c r="W71" s="16"/>
      <c r="X71" s="16"/>
      <c r="Z71"/>
      <c r="AA71"/>
      <c r="AB71" s="130"/>
      <c r="AC71"/>
      <c r="AD71"/>
      <c r="AE71" s="16"/>
      <c r="AF71"/>
      <c r="AG71"/>
      <c r="AH71"/>
      <c r="AI71"/>
      <c r="AJ71"/>
      <c r="AK71"/>
      <c r="AL71"/>
      <c r="AM71"/>
      <c r="AN71"/>
      <c r="AO71"/>
      <c r="AP71"/>
      <c r="AQ71"/>
      <c r="AR71" s="338"/>
      <c r="AS71" s="113"/>
    </row>
    <row r="72" spans="1:45" ht="30.75" hidden="1" customHeight="1" x14ac:dyDescent="0.2">
      <c r="A72" s="568" t="s">
        <v>613</v>
      </c>
      <c r="B72" s="568"/>
      <c r="C72" s="568"/>
      <c r="D72" s="568"/>
      <c r="E72" s="568"/>
      <c r="F72" s="568"/>
      <c r="G72" s="568"/>
      <c r="H72" s="568"/>
      <c r="I72" s="568"/>
      <c r="J72" s="568"/>
      <c r="K72" s="568"/>
      <c r="L72" s="568"/>
      <c r="M72" s="568"/>
      <c r="N72" s="568"/>
      <c r="O72" s="568"/>
      <c r="P72" s="568"/>
      <c r="Q72" s="568"/>
      <c r="R72" s="568"/>
      <c r="S72" s="568"/>
      <c r="T72" s="568"/>
      <c r="U72" s="568"/>
      <c r="V72" s="568"/>
      <c r="W72" s="568"/>
      <c r="X72" s="568"/>
      <c r="Y72" s="568"/>
      <c r="Z72" s="568"/>
      <c r="AA72" s="568"/>
      <c r="AB72" s="239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</row>
    <row r="73" spans="1:45" hidden="1" x14ac:dyDescent="0.2">
      <c r="A73" s="568"/>
      <c r="B73" s="568"/>
      <c r="C73" s="568"/>
      <c r="D73" s="568"/>
      <c r="E73" s="568"/>
      <c r="F73" s="568"/>
      <c r="G73" s="568"/>
      <c r="H73" s="568"/>
      <c r="I73" s="568"/>
      <c r="J73" s="568"/>
      <c r="K73" s="568"/>
      <c r="L73" s="568"/>
      <c r="M73" s="568"/>
      <c r="N73" s="568"/>
      <c r="O73" s="568"/>
      <c r="P73" s="568"/>
      <c r="Q73" s="568"/>
      <c r="R73" s="568"/>
      <c r="S73" s="568"/>
      <c r="T73" s="568"/>
      <c r="U73" s="568"/>
      <c r="V73" s="568"/>
      <c r="W73" s="568"/>
      <c r="X73" s="568"/>
      <c r="Y73" s="568"/>
      <c r="Z73" s="568"/>
      <c r="AA73" s="568"/>
    </row>
    <row r="75" spans="1:45" x14ac:dyDescent="0.2">
      <c r="Z75" s="567"/>
      <c r="AA75" s="567"/>
      <c r="AB75" s="567"/>
      <c r="AC75" s="567"/>
      <c r="AD75" s="567"/>
      <c r="AQ75" s="17"/>
    </row>
    <row r="76" spans="1:45" x14ac:dyDescent="0.2">
      <c r="Z76" s="567"/>
      <c r="AA76" s="567"/>
      <c r="AB76" s="567"/>
      <c r="AC76" s="567"/>
      <c r="AD76" s="567"/>
    </row>
    <row r="77" spans="1:45" x14ac:dyDescent="0.2">
      <c r="Z77" s="567"/>
      <c r="AA77" s="567"/>
      <c r="AB77" s="567"/>
      <c r="AC77" s="567"/>
      <c r="AD77" s="567"/>
    </row>
    <row r="78" spans="1:45" x14ac:dyDescent="0.2">
      <c r="Z78" s="567"/>
      <c r="AA78" s="567"/>
      <c r="AB78" s="567"/>
      <c r="AC78" s="567"/>
      <c r="AD78" s="567"/>
    </row>
  </sheetData>
  <mergeCells count="27">
    <mergeCell ref="Z75:AD78"/>
    <mergeCell ref="A72:AA73"/>
    <mergeCell ref="V11:V12"/>
    <mergeCell ref="R11:R12"/>
    <mergeCell ref="S11:S12"/>
    <mergeCell ref="T11:T12"/>
    <mergeCell ref="W11:W12"/>
    <mergeCell ref="J11:J12"/>
    <mergeCell ref="K11:K12"/>
    <mergeCell ref="L11:L12"/>
    <mergeCell ref="M11:M12"/>
    <mergeCell ref="O11:O12"/>
    <mergeCell ref="Q11:Q12"/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Y11:Y12"/>
    <mergeCell ref="AD11:AD12"/>
    <mergeCell ref="AE11:AE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55"/>
  <sheetViews>
    <sheetView topLeftCell="H19" zoomScale="110" zoomScaleNormal="110" workbookViewId="0">
      <selection activeCell="AU42" sqref="AU42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8" width="8.140625" hidden="1" customWidth="1"/>
    <col min="39" max="39" width="8.28515625" hidden="1" customWidth="1"/>
    <col min="40" max="40" width="9" hidden="1" customWidth="1"/>
    <col min="41" max="41" width="8.7109375" hidden="1" customWidth="1"/>
    <col min="42" max="42" width="8.42578125" hidden="1" customWidth="1"/>
    <col min="43" max="43" width="9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/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751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25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26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27" t="s">
        <v>680</v>
      </c>
      <c r="O11" s="556" t="s">
        <v>643</v>
      </c>
      <c r="P11" s="332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29"/>
      <c r="V11" s="558" t="s">
        <v>746</v>
      </c>
      <c r="W11" s="558" t="s">
        <v>747</v>
      </c>
      <c r="X11" s="328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751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30"/>
      <c r="V12" s="569"/>
      <c r="W12" s="569"/>
      <c r="X12" s="331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41" t="s">
        <v>68</v>
      </c>
      <c r="B13" s="41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41" t="s">
        <v>69</v>
      </c>
      <c r="B14" s="54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171" t="s">
        <v>543</v>
      </c>
      <c r="B15" s="145" t="s">
        <v>545</v>
      </c>
      <c r="C15" s="87" t="s">
        <v>574</v>
      </c>
      <c r="D15" s="101">
        <v>3</v>
      </c>
      <c r="E15" s="48">
        <v>0.33329999999999999</v>
      </c>
      <c r="F15" s="88">
        <v>42185</v>
      </c>
      <c r="G15" s="101">
        <v>36</v>
      </c>
      <c r="H15" s="201">
        <f>100/G15</f>
        <v>2.7777777777777777</v>
      </c>
      <c r="I15" s="233">
        <f t="shared" ref="I15:I17" si="0">H15*J15</f>
        <v>25</v>
      </c>
      <c r="J15" s="90">
        <f>(YEAR(F15)-YEAR(S15))*12+MONTH(F15)-MONTH(S15)</f>
        <v>9</v>
      </c>
      <c r="K15" s="233">
        <f>L15*H15</f>
        <v>75</v>
      </c>
      <c r="L15" s="90">
        <f>G15-J15</f>
        <v>27</v>
      </c>
      <c r="M15" s="233">
        <f>N15*H15</f>
        <v>19.444444444444443</v>
      </c>
      <c r="N15" s="90">
        <v>7</v>
      </c>
      <c r="O15" s="233">
        <f t="shared" ref="O15:O17" si="1">K15-M15</f>
        <v>55.555555555555557</v>
      </c>
      <c r="P15" s="90">
        <f t="shared" ref="P15:P17" si="2">L15-N15</f>
        <v>20</v>
      </c>
      <c r="Q15" s="90">
        <f t="shared" ref="Q15:Q17" si="3">M15-O15</f>
        <v>-36.111111111111114</v>
      </c>
      <c r="R15" s="179" t="s">
        <v>754</v>
      </c>
      <c r="S15" s="29">
        <v>41900</v>
      </c>
      <c r="T15" s="222">
        <v>5056.99</v>
      </c>
      <c r="U15" s="116">
        <v>140.46</v>
      </c>
      <c r="V15" s="222">
        <v>1685.5178972500003</v>
      </c>
      <c r="W15" s="222">
        <v>3371.47210275</v>
      </c>
      <c r="X15" s="324">
        <v>140.46</v>
      </c>
      <c r="Y15" s="152">
        <f>X15*5</f>
        <v>702.30000000000007</v>
      </c>
      <c r="Z15" s="341">
        <f>W15-Y15</f>
        <v>2669.1721027499998</v>
      </c>
      <c r="AA15" s="100">
        <v>115.958</v>
      </c>
      <c r="AB15" s="100">
        <v>113.93899999999999</v>
      </c>
      <c r="AC15" s="100">
        <f>AA15/AB15</f>
        <v>1.0177200080744961</v>
      </c>
      <c r="AD15" s="98">
        <f>Z15*M15/100/K15*100/7</f>
        <v>98.858226027777761</v>
      </c>
      <c r="AE15" s="98">
        <f>AD15*AC15</f>
        <v>100.60999459122034</v>
      </c>
      <c r="AF15" s="98"/>
      <c r="AG15" s="98"/>
      <c r="AH15" s="98"/>
      <c r="AI15" s="98"/>
      <c r="AJ15" s="98"/>
      <c r="AK15" s="98">
        <f>AE15</f>
        <v>100.60999459122034</v>
      </c>
      <c r="AL15" s="98">
        <v>100.60999459122034</v>
      </c>
      <c r="AM15" s="98">
        <v>100.60999459122034</v>
      </c>
      <c r="AN15" s="98">
        <v>100.60999459122034</v>
      </c>
      <c r="AO15" s="98">
        <v>100.60999459122034</v>
      </c>
      <c r="AP15" s="98">
        <v>100.60999459122034</v>
      </c>
      <c r="AQ15" s="98">
        <v>100.60999459122034</v>
      </c>
      <c r="AR15" s="98">
        <f>SUM(AF15:AQ15)</f>
        <v>704.26996213854238</v>
      </c>
      <c r="AS15" s="116">
        <f>Z15-AR15</f>
        <v>1964.9021406114575</v>
      </c>
    </row>
    <row r="16" spans="1:45" s="22" customFormat="1" x14ac:dyDescent="0.2">
      <c r="A16" s="171" t="s">
        <v>543</v>
      </c>
      <c r="B16" s="145" t="s">
        <v>544</v>
      </c>
      <c r="C16" s="87" t="s">
        <v>574</v>
      </c>
      <c r="D16" s="101">
        <v>3</v>
      </c>
      <c r="E16" s="48">
        <v>0.33329999999999999</v>
      </c>
      <c r="F16" s="88">
        <v>42185</v>
      </c>
      <c r="G16" s="101">
        <v>36</v>
      </c>
      <c r="H16" s="201">
        <f>100/G16</f>
        <v>2.7777777777777777</v>
      </c>
      <c r="I16" s="233">
        <f t="shared" si="0"/>
        <v>25</v>
      </c>
      <c r="J16" s="90">
        <f>(YEAR(F16)-YEAR(S16))*12+MONTH(F16)-MONTH(S16)</f>
        <v>9</v>
      </c>
      <c r="K16" s="233">
        <f>L16*H16</f>
        <v>75</v>
      </c>
      <c r="L16" s="90">
        <f>G16-J16</f>
        <v>27</v>
      </c>
      <c r="M16" s="233">
        <f>N16*H16</f>
        <v>19.444444444444443</v>
      </c>
      <c r="N16" s="90">
        <v>7</v>
      </c>
      <c r="O16" s="233">
        <f t="shared" si="1"/>
        <v>55.555555555555557</v>
      </c>
      <c r="P16" s="90">
        <f t="shared" si="2"/>
        <v>20</v>
      </c>
      <c r="Q16" s="90">
        <f t="shared" si="3"/>
        <v>-36.111111111111114</v>
      </c>
      <c r="R16" s="179" t="s">
        <v>754</v>
      </c>
      <c r="S16" s="29">
        <v>41900</v>
      </c>
      <c r="T16" s="222">
        <v>7786.99</v>
      </c>
      <c r="U16" s="116">
        <v>216.28</v>
      </c>
      <c r="V16" s="222">
        <v>2595.3636472500002</v>
      </c>
      <c r="W16" s="222">
        <v>5191.6263527499996</v>
      </c>
      <c r="X16" s="324">
        <v>216.28</v>
      </c>
      <c r="Y16" s="152">
        <f>X16*5</f>
        <v>1081.4000000000001</v>
      </c>
      <c r="Z16" s="341">
        <f>W16-Y16</f>
        <v>4110.2263527499999</v>
      </c>
      <c r="AA16" s="100">
        <v>115.958</v>
      </c>
      <c r="AB16" s="100">
        <v>113.93899999999999</v>
      </c>
      <c r="AC16" s="100">
        <f>AA16/AB16</f>
        <v>1.0177200080744961</v>
      </c>
      <c r="AD16" s="98">
        <f>Z16*M16/100/K16*100/7</f>
        <v>152.23060565740738</v>
      </c>
      <c r="AE16" s="98">
        <f>AD16*AC16</f>
        <v>154.92813321884208</v>
      </c>
      <c r="AF16" s="98"/>
      <c r="AG16" s="98"/>
      <c r="AH16" s="98"/>
      <c r="AI16" s="98"/>
      <c r="AJ16" s="98"/>
      <c r="AK16" s="98">
        <f>AE16</f>
        <v>154.92813321884208</v>
      </c>
      <c r="AL16" s="98">
        <v>154.92813321884208</v>
      </c>
      <c r="AM16" s="98">
        <v>154.92813321884208</v>
      </c>
      <c r="AN16" s="98">
        <v>154.92813321884208</v>
      </c>
      <c r="AO16" s="98">
        <v>154.92813321884208</v>
      </c>
      <c r="AP16" s="98">
        <v>154.92813321884208</v>
      </c>
      <c r="AQ16" s="98">
        <v>154.92813321884208</v>
      </c>
      <c r="AR16" s="98">
        <f>SUM(AF16:AQ16)</f>
        <v>1084.4969325318946</v>
      </c>
      <c r="AS16" s="116">
        <f>Z16-AR16</f>
        <v>3025.7294202181056</v>
      </c>
    </row>
    <row r="17" spans="1:45" s="22" customFormat="1" x14ac:dyDescent="0.2">
      <c r="A17" s="171" t="s">
        <v>543</v>
      </c>
      <c r="B17" s="145" t="s">
        <v>549</v>
      </c>
      <c r="C17" s="87" t="s">
        <v>574</v>
      </c>
      <c r="D17" s="101">
        <v>3</v>
      </c>
      <c r="E17" s="48">
        <v>0.33329999999999999</v>
      </c>
      <c r="F17" s="88">
        <v>42185</v>
      </c>
      <c r="G17" s="101">
        <v>36</v>
      </c>
      <c r="H17" s="201">
        <f>100/G17</f>
        <v>2.7777777777777777</v>
      </c>
      <c r="I17" s="233">
        <f t="shared" si="0"/>
        <v>25</v>
      </c>
      <c r="J17" s="90">
        <f>(YEAR(F17)-YEAR(S17))*12+MONTH(F17)-MONTH(S17)</f>
        <v>9</v>
      </c>
      <c r="K17" s="233">
        <f>L17*H17</f>
        <v>75</v>
      </c>
      <c r="L17" s="90">
        <f>G17-J17</f>
        <v>27</v>
      </c>
      <c r="M17" s="233">
        <f>N17*H17</f>
        <v>19.444444444444443</v>
      </c>
      <c r="N17" s="90">
        <v>7</v>
      </c>
      <c r="O17" s="233">
        <f t="shared" si="1"/>
        <v>55.555555555555557</v>
      </c>
      <c r="P17" s="90">
        <f t="shared" si="2"/>
        <v>20</v>
      </c>
      <c r="Q17" s="90">
        <f t="shared" si="3"/>
        <v>-36.111111111111114</v>
      </c>
      <c r="R17" s="179" t="s">
        <v>754</v>
      </c>
      <c r="S17" s="29">
        <v>41900</v>
      </c>
      <c r="T17" s="222">
        <v>9737</v>
      </c>
      <c r="U17" s="116">
        <v>270.45</v>
      </c>
      <c r="V17" s="222">
        <v>3245.3951749999992</v>
      </c>
      <c r="W17" s="222">
        <v>6491.6048250000003</v>
      </c>
      <c r="X17" s="324">
        <v>270.45</v>
      </c>
      <c r="Y17" s="152">
        <f>X17*5</f>
        <v>1352.25</v>
      </c>
      <c r="Z17" s="341">
        <f>W17-Y17</f>
        <v>5139.3548250000003</v>
      </c>
      <c r="AA17" s="100">
        <v>115.958</v>
      </c>
      <c r="AB17" s="100">
        <v>113.93899999999999</v>
      </c>
      <c r="AC17" s="100">
        <f>AA17/AB17</f>
        <v>1.0177200080744961</v>
      </c>
      <c r="AD17" s="98">
        <f>Z17*M17/100/K17*100/7</f>
        <v>190.34647499999997</v>
      </c>
      <c r="AE17" s="98">
        <f>AD17*AC17</f>
        <v>193.71941607395183</v>
      </c>
      <c r="AF17" s="98"/>
      <c r="AG17" s="98"/>
      <c r="AH17" s="98"/>
      <c r="AI17" s="98"/>
      <c r="AJ17" s="98"/>
      <c r="AK17" s="98">
        <f>AE17</f>
        <v>193.71941607395183</v>
      </c>
      <c r="AL17" s="98">
        <v>193.71941607395183</v>
      </c>
      <c r="AM17" s="98">
        <v>193.71941607395183</v>
      </c>
      <c r="AN17" s="98">
        <v>193.71941607395183</v>
      </c>
      <c r="AO17" s="98">
        <v>193.71941607395183</v>
      </c>
      <c r="AP17" s="98">
        <v>193.71941607395183</v>
      </c>
      <c r="AQ17" s="98">
        <v>193.71941607395183</v>
      </c>
      <c r="AR17" s="98">
        <f>SUM(AF17:AQ17)</f>
        <v>1356.0359125176628</v>
      </c>
      <c r="AS17" s="116">
        <f>Z17-AR17</f>
        <v>3783.3189124823375</v>
      </c>
    </row>
    <row r="18" spans="1:45" s="22" customFormat="1" x14ac:dyDescent="0.2">
      <c r="A18" s="41" t="s">
        <v>364</v>
      </c>
      <c r="B18" s="41"/>
      <c r="C18" s="87"/>
      <c r="D18" s="101"/>
      <c r="E18" s="42"/>
      <c r="F18" s="30"/>
      <c r="G18" s="101"/>
      <c r="H18" s="201"/>
      <c r="I18" s="233"/>
      <c r="J18" s="90"/>
      <c r="K18" s="233"/>
      <c r="L18" s="90"/>
      <c r="M18" s="233"/>
      <c r="N18" s="90"/>
      <c r="O18" s="233"/>
      <c r="P18" s="90"/>
      <c r="Q18" s="90"/>
      <c r="R18" s="179"/>
      <c r="S18" s="30"/>
      <c r="T18" s="223"/>
      <c r="U18" s="116"/>
      <c r="V18" s="222"/>
      <c r="W18" s="222"/>
      <c r="X18" s="324"/>
      <c r="Y18" s="152"/>
      <c r="Z18" s="341"/>
      <c r="AA18" s="100"/>
      <c r="AB18" s="125"/>
      <c r="AC18" s="100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116"/>
    </row>
    <row r="19" spans="1:45" s="22" customFormat="1" x14ac:dyDescent="0.2">
      <c r="A19" s="172" t="s">
        <v>365</v>
      </c>
      <c r="B19" s="47"/>
      <c r="C19" s="87"/>
      <c r="D19" s="101"/>
      <c r="E19" s="42"/>
      <c r="F19" s="29"/>
      <c r="G19" s="101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179"/>
      <c r="S19" s="29"/>
      <c r="T19" s="222"/>
      <c r="U19" s="116"/>
      <c r="V19" s="222"/>
      <c r="W19" s="222"/>
      <c r="X19" s="324"/>
      <c r="Y19" s="152"/>
      <c r="Z19" s="341"/>
      <c r="AA19" s="100"/>
      <c r="AB19" s="100"/>
      <c r="AC19" s="100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116"/>
    </row>
    <row r="20" spans="1:45" s="22" customFormat="1" x14ac:dyDescent="0.2">
      <c r="A20" s="171" t="s">
        <v>547</v>
      </c>
      <c r="B20" s="145" t="s">
        <v>548</v>
      </c>
      <c r="C20" s="87" t="s">
        <v>574</v>
      </c>
      <c r="D20" s="101">
        <v>3</v>
      </c>
      <c r="E20" s="48">
        <v>0.33329999999999999</v>
      </c>
      <c r="F20" s="88">
        <v>42185</v>
      </c>
      <c r="G20" s="12">
        <v>36</v>
      </c>
      <c r="H20" s="201">
        <f>100/G20</f>
        <v>2.7777777777777777</v>
      </c>
      <c r="I20" s="233">
        <f t="shared" ref="I20" si="4">H20*J20</f>
        <v>25</v>
      </c>
      <c r="J20" s="90">
        <f>(YEAR(F20)-YEAR(S20))*12+MONTH(F20)-MONTH(S20)</f>
        <v>9</v>
      </c>
      <c r="K20" s="233">
        <f>L20*H20</f>
        <v>75</v>
      </c>
      <c r="L20" s="90">
        <f>G20-J20</f>
        <v>27</v>
      </c>
      <c r="M20" s="233">
        <f>N20*H20</f>
        <v>19.444444444444443</v>
      </c>
      <c r="N20" s="90">
        <v>7</v>
      </c>
      <c r="O20" s="233">
        <f t="shared" ref="O20" si="5">K20-M20</f>
        <v>55.555555555555557</v>
      </c>
      <c r="P20" s="90">
        <f t="shared" ref="P20" si="6">L20-N20</f>
        <v>20</v>
      </c>
      <c r="Q20" s="90">
        <f t="shared" ref="Q20" si="7">M20-O20</f>
        <v>-36.111111111111114</v>
      </c>
      <c r="R20" s="179" t="s">
        <v>754</v>
      </c>
      <c r="S20" s="29">
        <v>41900</v>
      </c>
      <c r="T20" s="222">
        <v>1951.9</v>
      </c>
      <c r="U20" s="116">
        <v>54.21</v>
      </c>
      <c r="V20" s="222">
        <v>650.5240225</v>
      </c>
      <c r="W20" s="222">
        <v>1301.3759775000001</v>
      </c>
      <c r="X20" s="324">
        <v>54.21</v>
      </c>
      <c r="Y20" s="152">
        <f>X20*5</f>
        <v>271.05</v>
      </c>
      <c r="Z20" s="341">
        <f>W20-Y20</f>
        <v>1030.3259775000001</v>
      </c>
      <c r="AA20" s="100">
        <v>115.958</v>
      </c>
      <c r="AB20" s="100">
        <v>113.93899999999999</v>
      </c>
      <c r="AC20" s="100">
        <f>AA20/AB20</f>
        <v>1.0177200080744961</v>
      </c>
      <c r="AD20" s="98">
        <f>Z20*M20/100/K20*100/7</f>
        <v>38.160221388888885</v>
      </c>
      <c r="AE20" s="98">
        <f>AD20*AC20</f>
        <v>38.836420820024557</v>
      </c>
      <c r="AF20" s="98"/>
      <c r="AG20" s="98"/>
      <c r="AH20" s="98"/>
      <c r="AI20" s="98"/>
      <c r="AJ20" s="98"/>
      <c r="AK20" s="98">
        <f>AE20</f>
        <v>38.836420820024557</v>
      </c>
      <c r="AL20" s="98">
        <v>38.836420820024557</v>
      </c>
      <c r="AM20" s="98">
        <v>38.836420820024557</v>
      </c>
      <c r="AN20" s="98">
        <v>38.836420820024557</v>
      </c>
      <c r="AO20" s="98">
        <v>38.836420820024557</v>
      </c>
      <c r="AP20" s="98">
        <v>38.836420820024557</v>
      </c>
      <c r="AQ20" s="98">
        <v>38.836420820024557</v>
      </c>
      <c r="AR20" s="98">
        <f>SUM(AF20:AQ20)</f>
        <v>271.8549457401719</v>
      </c>
      <c r="AS20" s="116">
        <f>Z20-AR20</f>
        <v>758.47103175982829</v>
      </c>
    </row>
    <row r="21" spans="1:45" s="22" customFormat="1" x14ac:dyDescent="0.2">
      <c r="A21" s="41" t="s">
        <v>68</v>
      </c>
      <c r="B21" s="41"/>
      <c r="C21" s="87"/>
      <c r="D21" s="101"/>
      <c r="E21" s="48"/>
      <c r="F21" s="29"/>
      <c r="G21" s="101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88"/>
      <c r="S21" s="29"/>
      <c r="T21" s="222"/>
      <c r="U21" s="116"/>
      <c r="V21" s="222"/>
      <c r="W21" s="222"/>
      <c r="X21" s="324"/>
      <c r="Y21" s="152"/>
      <c r="Z21" s="341"/>
      <c r="AA21" s="100"/>
      <c r="AB21" s="125"/>
      <c r="AC21" s="100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116"/>
    </row>
    <row r="22" spans="1:45" s="22" customFormat="1" x14ac:dyDescent="0.2">
      <c r="A22" s="41" t="s">
        <v>86</v>
      </c>
      <c r="B22" s="13"/>
      <c r="C22" s="178"/>
      <c r="D22" s="157"/>
      <c r="E22" s="48"/>
      <c r="F22" s="29"/>
      <c r="G22" s="12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179"/>
      <c r="S22" s="29"/>
      <c r="T22" s="222"/>
      <c r="U22" s="116"/>
      <c r="V22" s="222"/>
      <c r="W22" s="222"/>
      <c r="X22" s="324"/>
      <c r="Y22" s="152"/>
      <c r="Z22" s="341"/>
      <c r="AA22" s="100"/>
      <c r="AB22" s="127"/>
      <c r="AC22" s="100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116"/>
    </row>
    <row r="23" spans="1:45" s="22" customFormat="1" x14ac:dyDescent="0.2">
      <c r="A23" s="171" t="s">
        <v>550</v>
      </c>
      <c r="B23" s="145" t="s">
        <v>551</v>
      </c>
      <c r="C23" s="87" t="s">
        <v>574</v>
      </c>
      <c r="D23" s="101">
        <v>10</v>
      </c>
      <c r="E23" s="48">
        <v>0.1</v>
      </c>
      <c r="F23" s="88">
        <v>42185</v>
      </c>
      <c r="G23" s="101">
        <v>120</v>
      </c>
      <c r="H23" s="201">
        <f>100/G23</f>
        <v>0.83333333333333337</v>
      </c>
      <c r="I23" s="233">
        <f t="shared" ref="I23:I24" si="8">H23*J23</f>
        <v>7.5</v>
      </c>
      <c r="J23" s="90">
        <f>(YEAR(F23)-YEAR(S23))*12+MONTH(F23)-MONTH(S23)</f>
        <v>9</v>
      </c>
      <c r="K23" s="233">
        <f>L23*H23</f>
        <v>92.5</v>
      </c>
      <c r="L23" s="90">
        <f>G23-J23</f>
        <v>111</v>
      </c>
      <c r="M23" s="233">
        <f>N23*H23</f>
        <v>5.8333333333333339</v>
      </c>
      <c r="N23" s="90">
        <v>7</v>
      </c>
      <c r="O23" s="233">
        <f t="shared" ref="O23:Q24" si="9">K23-M23</f>
        <v>86.666666666666671</v>
      </c>
      <c r="P23" s="90">
        <f t="shared" si="9"/>
        <v>104</v>
      </c>
      <c r="Q23" s="90">
        <f t="shared" si="9"/>
        <v>-80.833333333333343</v>
      </c>
      <c r="R23" s="179" t="s">
        <v>754</v>
      </c>
      <c r="S23" s="29">
        <v>41900</v>
      </c>
      <c r="T23" s="222">
        <v>2865.2</v>
      </c>
      <c r="U23" s="116">
        <v>23.88</v>
      </c>
      <c r="V23" s="222">
        <v>286.55666666666662</v>
      </c>
      <c r="W23" s="222">
        <v>2578.6433333333334</v>
      </c>
      <c r="X23" s="324">
        <v>23.88</v>
      </c>
      <c r="Y23" s="152">
        <f>X23*5</f>
        <v>119.39999999999999</v>
      </c>
      <c r="Z23" s="341">
        <f>W23-Y23</f>
        <v>2459.2433333333333</v>
      </c>
      <c r="AA23" s="100">
        <v>115.958</v>
      </c>
      <c r="AB23" s="100">
        <v>113.93899999999999</v>
      </c>
      <c r="AC23" s="100">
        <f>AA23/AB23</f>
        <v>1.0177200080744961</v>
      </c>
      <c r="AD23" s="98">
        <f>Z23*M23/100/K23*100/7</f>
        <v>22.155345345345349</v>
      </c>
      <c r="AE23" s="98">
        <f>AD23*AC23</f>
        <v>22.547938243758118</v>
      </c>
      <c r="AF23" s="98"/>
      <c r="AG23" s="98"/>
      <c r="AH23" s="98"/>
      <c r="AI23" s="98"/>
      <c r="AJ23" s="98"/>
      <c r="AK23" s="98">
        <f>AE23</f>
        <v>22.547938243758118</v>
      </c>
      <c r="AL23" s="98">
        <v>22.547938243758118</v>
      </c>
      <c r="AM23" s="98">
        <v>22.547938243758118</v>
      </c>
      <c r="AN23" s="98">
        <v>22.547938243758118</v>
      </c>
      <c r="AO23" s="98">
        <v>22.547938243758118</v>
      </c>
      <c r="AP23" s="98">
        <v>22.547938243758118</v>
      </c>
      <c r="AQ23" s="98">
        <v>22.547938243758118</v>
      </c>
      <c r="AR23" s="98">
        <f>SUM(AF23:AQ23)</f>
        <v>157.83556770630685</v>
      </c>
      <c r="AS23" s="116">
        <f>Z23-AR23</f>
        <v>2301.4077656270265</v>
      </c>
    </row>
    <row r="24" spans="1:45" s="22" customFormat="1" x14ac:dyDescent="0.2">
      <c r="A24" s="171" t="s">
        <v>550</v>
      </c>
      <c r="B24" s="145" t="s">
        <v>552</v>
      </c>
      <c r="C24" s="87" t="s">
        <v>574</v>
      </c>
      <c r="D24" s="101">
        <v>10</v>
      </c>
      <c r="E24" s="48">
        <v>0.1</v>
      </c>
      <c r="F24" s="88">
        <v>42185</v>
      </c>
      <c r="G24" s="101">
        <v>120</v>
      </c>
      <c r="H24" s="201">
        <f>100/G24</f>
        <v>0.83333333333333337</v>
      </c>
      <c r="I24" s="233">
        <f t="shared" si="8"/>
        <v>7.5</v>
      </c>
      <c r="J24" s="90">
        <f>(YEAR(F24)-YEAR(S24))*12+MONTH(F24)-MONTH(S24)</f>
        <v>9</v>
      </c>
      <c r="K24" s="233">
        <f>L24*H24</f>
        <v>92.5</v>
      </c>
      <c r="L24" s="90">
        <f>G24-J24</f>
        <v>111</v>
      </c>
      <c r="M24" s="233">
        <f>N24*H24</f>
        <v>5.8333333333333339</v>
      </c>
      <c r="N24" s="90">
        <v>7</v>
      </c>
      <c r="O24" s="233">
        <f t="shared" si="9"/>
        <v>86.666666666666671</v>
      </c>
      <c r="P24" s="90">
        <f t="shared" si="9"/>
        <v>104</v>
      </c>
      <c r="Q24" s="90">
        <f t="shared" si="9"/>
        <v>-80.833333333333343</v>
      </c>
      <c r="R24" s="179" t="s">
        <v>754</v>
      </c>
      <c r="S24" s="29">
        <v>41900</v>
      </c>
      <c r="T24" s="222">
        <v>10253.1</v>
      </c>
      <c r="U24" s="116">
        <v>85.44</v>
      </c>
      <c r="V24" s="222">
        <v>1025.2825000000003</v>
      </c>
      <c r="W24" s="222">
        <v>9227.817500000001</v>
      </c>
      <c r="X24" s="324">
        <v>85.44</v>
      </c>
      <c r="Y24" s="152">
        <f>X24*5</f>
        <v>427.2</v>
      </c>
      <c r="Z24" s="341">
        <f>W24-Y24</f>
        <v>8800.6175000000003</v>
      </c>
      <c r="AA24" s="100">
        <v>115.958</v>
      </c>
      <c r="AB24" s="100">
        <v>113.93899999999999</v>
      </c>
      <c r="AC24" s="100">
        <f>AA24/AB24</f>
        <v>1.0177200080744961</v>
      </c>
      <c r="AD24" s="98">
        <f>Z24*M24/100/K24*100/7</f>
        <v>79.284842342342358</v>
      </c>
      <c r="AE24" s="98">
        <f>AD24*AC24</f>
        <v>80.689770388833821</v>
      </c>
      <c r="AF24" s="98"/>
      <c r="AG24" s="98"/>
      <c r="AH24" s="98"/>
      <c r="AI24" s="98"/>
      <c r="AJ24" s="98"/>
      <c r="AK24" s="98">
        <f>AE24</f>
        <v>80.689770388833821</v>
      </c>
      <c r="AL24" s="98">
        <v>80.689770388833821</v>
      </c>
      <c r="AM24" s="98">
        <v>80.689770388833821</v>
      </c>
      <c r="AN24" s="98">
        <v>80.689770388833821</v>
      </c>
      <c r="AO24" s="98">
        <v>80.689770388833821</v>
      </c>
      <c r="AP24" s="98">
        <v>80.689770388833821</v>
      </c>
      <c r="AQ24" s="98">
        <v>80.689770388833821</v>
      </c>
      <c r="AR24" s="98">
        <f>SUM(AF24:AQ24)</f>
        <v>564.82839272183674</v>
      </c>
      <c r="AS24" s="116">
        <f>Z24-AR24</f>
        <v>8235.789107278164</v>
      </c>
    </row>
    <row r="25" spans="1:45" s="22" customFormat="1" ht="13.5" x14ac:dyDescent="0.25">
      <c r="A25" s="41" t="s">
        <v>68</v>
      </c>
      <c r="B25" s="41"/>
      <c r="C25" s="87"/>
      <c r="D25" s="101"/>
      <c r="E25" s="46"/>
      <c r="F25" s="15"/>
      <c r="G25" s="101"/>
      <c r="H25" s="201"/>
      <c r="I25" s="233"/>
      <c r="J25" s="90"/>
      <c r="K25" s="233"/>
      <c r="L25" s="90"/>
      <c r="M25" s="233"/>
      <c r="N25" s="90"/>
      <c r="O25" s="233"/>
      <c r="P25" s="90"/>
      <c r="Q25" s="90"/>
      <c r="R25" s="179"/>
      <c r="S25" s="15"/>
      <c r="T25" s="224"/>
      <c r="U25" s="116"/>
      <c r="V25" s="222"/>
      <c r="W25" s="222"/>
      <c r="X25" s="324"/>
      <c r="Y25" s="152"/>
      <c r="Z25" s="340"/>
      <c r="AA25" s="100"/>
      <c r="AB25" s="125"/>
      <c r="AC25" s="100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116"/>
    </row>
    <row r="26" spans="1:45" s="22" customFormat="1" ht="13.5" x14ac:dyDescent="0.25">
      <c r="A26" s="172" t="s">
        <v>553</v>
      </c>
      <c r="B26" s="54"/>
      <c r="C26" s="87"/>
      <c r="D26" s="101"/>
      <c r="E26" s="46"/>
      <c r="F26" s="15"/>
      <c r="G26" s="101"/>
      <c r="H26" s="201"/>
      <c r="I26" s="233"/>
      <c r="J26" s="90"/>
      <c r="K26" s="233"/>
      <c r="L26" s="90"/>
      <c r="M26" s="233"/>
      <c r="N26" s="90"/>
      <c r="O26" s="233"/>
      <c r="P26" s="90"/>
      <c r="Q26" s="90"/>
      <c r="R26" s="179"/>
      <c r="S26" s="15"/>
      <c r="T26" s="224"/>
      <c r="U26" s="116"/>
      <c r="V26" s="222"/>
      <c r="W26" s="222"/>
      <c r="X26" s="324"/>
      <c r="Y26" s="152"/>
      <c r="Z26" s="341"/>
      <c r="AA26" s="100"/>
      <c r="AB26" s="125"/>
      <c r="AC26" s="100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116"/>
    </row>
    <row r="27" spans="1:45" s="22" customFormat="1" x14ac:dyDescent="0.2">
      <c r="A27" s="171" t="s">
        <v>554</v>
      </c>
      <c r="B27" s="145" t="s">
        <v>555</v>
      </c>
      <c r="C27" s="87" t="s">
        <v>574</v>
      </c>
      <c r="D27" s="101">
        <v>3</v>
      </c>
      <c r="E27" s="48">
        <v>0.33329999999999999</v>
      </c>
      <c r="F27" s="88">
        <v>42185</v>
      </c>
      <c r="G27" s="101">
        <v>36</v>
      </c>
      <c r="H27" s="201">
        <f>100/G27</f>
        <v>2.7777777777777777</v>
      </c>
      <c r="I27" s="233">
        <f t="shared" ref="I27" si="10">H27*J27</f>
        <v>25</v>
      </c>
      <c r="J27" s="90">
        <f>(YEAR(F27)-YEAR(S27))*12+MONTH(F27)-MONTH(S27)</f>
        <v>9</v>
      </c>
      <c r="K27" s="233">
        <f>L27*H27</f>
        <v>75</v>
      </c>
      <c r="L27" s="90">
        <f>G27-J27</f>
        <v>27</v>
      </c>
      <c r="M27" s="233">
        <f>N27*H27</f>
        <v>19.444444444444443</v>
      </c>
      <c r="N27" s="90">
        <v>7</v>
      </c>
      <c r="O27" s="233">
        <f t="shared" ref="O27:Q27" si="11">K27-M27</f>
        <v>55.555555555555557</v>
      </c>
      <c r="P27" s="90">
        <f t="shared" si="11"/>
        <v>20</v>
      </c>
      <c r="Q27" s="90">
        <f t="shared" si="11"/>
        <v>-36.111111111111114</v>
      </c>
      <c r="R27" s="179" t="s">
        <v>754</v>
      </c>
      <c r="S27" s="29">
        <v>41900</v>
      </c>
      <c r="T27" s="222">
        <v>3639.99</v>
      </c>
      <c r="U27" s="116">
        <v>101.1</v>
      </c>
      <c r="V27" s="222">
        <v>1213.2007222499999</v>
      </c>
      <c r="W27" s="222">
        <v>2426.7892777500001</v>
      </c>
      <c r="X27" s="324">
        <v>101.1</v>
      </c>
      <c r="Y27" s="152">
        <f>X27*5</f>
        <v>505.5</v>
      </c>
      <c r="Z27" s="341">
        <f>W27-Y27</f>
        <v>1921.2892777500001</v>
      </c>
      <c r="AA27" s="100">
        <v>115.958</v>
      </c>
      <c r="AB27" s="100">
        <v>113.93899999999999</v>
      </c>
      <c r="AC27" s="100">
        <f>AA27/AB27</f>
        <v>1.0177200080744961</v>
      </c>
      <c r="AD27" s="98">
        <f>Z27*M27/100/K27*100/7</f>
        <v>71.158862138888878</v>
      </c>
      <c r="AE27" s="98">
        <f>AD27*AC27</f>
        <v>72.419797750561941</v>
      </c>
      <c r="AF27" s="98"/>
      <c r="AG27" s="98"/>
      <c r="AH27" s="98"/>
      <c r="AI27" s="98"/>
      <c r="AJ27" s="98"/>
      <c r="AK27" s="98">
        <f>AE27</f>
        <v>72.419797750561941</v>
      </c>
      <c r="AL27" s="98">
        <v>72.419797750561941</v>
      </c>
      <c r="AM27" s="98">
        <v>72.419797750561941</v>
      </c>
      <c r="AN27" s="98">
        <v>72.419797750561941</v>
      </c>
      <c r="AO27" s="98">
        <v>72.419797750561941</v>
      </c>
      <c r="AP27" s="98">
        <v>72.419797750561941</v>
      </c>
      <c r="AQ27" s="98">
        <v>72.419797750561941</v>
      </c>
      <c r="AR27" s="98">
        <f>SUM(AF27:AQ27)</f>
        <v>506.93858425393358</v>
      </c>
      <c r="AS27" s="116">
        <f>Z27-AR27</f>
        <v>1414.3506934960665</v>
      </c>
    </row>
    <row r="28" spans="1:45" s="22" customFormat="1" x14ac:dyDescent="0.2">
      <c r="A28" s="41" t="s">
        <v>74</v>
      </c>
      <c r="B28" s="41"/>
      <c r="C28" s="87"/>
      <c r="D28" s="101"/>
      <c r="E28" s="6"/>
      <c r="F28" s="88"/>
      <c r="G28" s="101"/>
      <c r="H28" s="201"/>
      <c r="I28" s="233"/>
      <c r="J28" s="90"/>
      <c r="K28" s="233"/>
      <c r="L28" s="90"/>
      <c r="M28" s="233"/>
      <c r="N28" s="90"/>
      <c r="O28" s="233"/>
      <c r="P28" s="90"/>
      <c r="Q28" s="90"/>
      <c r="R28" s="24"/>
      <c r="S28" s="30"/>
      <c r="T28" s="223"/>
      <c r="U28" s="116"/>
      <c r="V28" s="224"/>
      <c r="W28" s="224"/>
      <c r="X28" s="324"/>
      <c r="Y28" s="152"/>
      <c r="Z28" s="340"/>
      <c r="AA28" s="100"/>
      <c r="AB28" s="125"/>
      <c r="AC28" s="100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116"/>
    </row>
    <row r="29" spans="1:45" s="22" customFormat="1" x14ac:dyDescent="0.2">
      <c r="A29" s="41" t="s">
        <v>80</v>
      </c>
      <c r="B29" s="46"/>
      <c r="C29" s="178"/>
      <c r="D29" s="157"/>
      <c r="E29" s="42"/>
      <c r="F29" s="30"/>
      <c r="G29" s="12"/>
      <c r="H29" s="201"/>
      <c r="I29" s="233"/>
      <c r="J29" s="90"/>
      <c r="K29" s="233"/>
      <c r="L29" s="90"/>
      <c r="M29" s="233"/>
      <c r="N29" s="90"/>
      <c r="O29" s="233"/>
      <c r="P29" s="90"/>
      <c r="Q29" s="90"/>
      <c r="R29" s="88"/>
      <c r="S29" s="30"/>
      <c r="T29" s="223"/>
      <c r="U29" s="116"/>
      <c r="V29" s="222"/>
      <c r="W29" s="222"/>
      <c r="X29" s="324"/>
      <c r="Y29" s="152"/>
      <c r="Z29" s="341"/>
      <c r="AA29" s="100"/>
      <c r="AB29" s="127"/>
      <c r="AC29" s="100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116"/>
    </row>
    <row r="30" spans="1:45" s="22" customFormat="1" x14ac:dyDescent="0.2">
      <c r="A30" s="171" t="s">
        <v>556</v>
      </c>
      <c r="B30" s="145" t="s">
        <v>557</v>
      </c>
      <c r="C30" s="87" t="s">
        <v>574</v>
      </c>
      <c r="D30" s="101">
        <v>10</v>
      </c>
      <c r="E30" s="38">
        <v>0.1</v>
      </c>
      <c r="F30" s="88">
        <v>42185</v>
      </c>
      <c r="G30" s="101">
        <v>120</v>
      </c>
      <c r="H30" s="201">
        <f>100/G30</f>
        <v>0.83333333333333337</v>
      </c>
      <c r="I30" s="233">
        <f t="shared" ref="I30" si="12">H30*J30</f>
        <v>7.5</v>
      </c>
      <c r="J30" s="90">
        <f>(YEAR(F30)-YEAR(S30))*12+MONTH(F30)-MONTH(S30)</f>
        <v>9</v>
      </c>
      <c r="K30" s="233">
        <f>L30*H30</f>
        <v>92.5</v>
      </c>
      <c r="L30" s="90">
        <f>G30-J30</f>
        <v>111</v>
      </c>
      <c r="M30" s="233">
        <f>N30*H30</f>
        <v>5.8333333333333339</v>
      </c>
      <c r="N30" s="90">
        <v>7</v>
      </c>
      <c r="O30" s="233">
        <f t="shared" ref="O30:Q30" si="13">K30-M30</f>
        <v>86.666666666666671</v>
      </c>
      <c r="P30" s="90">
        <f t="shared" si="13"/>
        <v>104</v>
      </c>
      <c r="Q30" s="90">
        <f t="shared" si="13"/>
        <v>-80.833333333333343</v>
      </c>
      <c r="R30" s="179" t="s">
        <v>754</v>
      </c>
      <c r="S30" s="29">
        <v>41900</v>
      </c>
      <c r="T30" s="222">
        <v>779.99</v>
      </c>
      <c r="U30" s="116">
        <v>6.5</v>
      </c>
      <c r="V30" s="222">
        <v>77.999916666666664</v>
      </c>
      <c r="W30" s="222">
        <v>701.99008333333336</v>
      </c>
      <c r="X30" s="324">
        <v>6.5</v>
      </c>
      <c r="Y30" s="152">
        <f>X30*5</f>
        <v>32.5</v>
      </c>
      <c r="Z30" s="341">
        <f>W30-Y30</f>
        <v>669.49008333333336</v>
      </c>
      <c r="AA30" s="100">
        <v>115.958</v>
      </c>
      <c r="AB30" s="100">
        <v>113.93899999999999</v>
      </c>
      <c r="AC30" s="100">
        <f>AA30/AB30</f>
        <v>1.0177200080744961</v>
      </c>
      <c r="AD30" s="98">
        <f>Z30*M30/100/K30*100/7</f>
        <v>6.0314421921921939</v>
      </c>
      <c r="AE30" s="98">
        <f>AD30*AC30</f>
        <v>6.1383193965386962</v>
      </c>
      <c r="AF30" s="98"/>
      <c r="AG30" s="98"/>
      <c r="AH30" s="98"/>
      <c r="AI30" s="98"/>
      <c r="AJ30" s="98"/>
      <c r="AK30" s="98">
        <f>AE30</f>
        <v>6.1383193965386962</v>
      </c>
      <c r="AL30" s="98">
        <v>6.1383193965386962</v>
      </c>
      <c r="AM30" s="98">
        <v>6.1383193965386962</v>
      </c>
      <c r="AN30" s="98">
        <v>6.1383193965386962</v>
      </c>
      <c r="AO30" s="98">
        <v>6.1383193965386962</v>
      </c>
      <c r="AP30" s="98">
        <v>6.1383193965386962</v>
      </c>
      <c r="AQ30" s="98">
        <v>6.1383193965386962</v>
      </c>
      <c r="AR30" s="98">
        <f>SUM(AF30:AQ30)</f>
        <v>42.968235775770879</v>
      </c>
      <c r="AS30" s="116">
        <f>Z30-AR30</f>
        <v>626.52184755756252</v>
      </c>
    </row>
    <row r="31" spans="1:45" s="22" customFormat="1" x14ac:dyDescent="0.2">
      <c r="A31" s="41" t="s">
        <v>68</v>
      </c>
      <c r="B31" s="41"/>
      <c r="C31" s="87"/>
      <c r="D31" s="101"/>
      <c r="E31" s="48"/>
      <c r="F31" s="29"/>
      <c r="G31" s="101"/>
      <c r="H31" s="201"/>
      <c r="I31" s="233"/>
      <c r="J31" s="90"/>
      <c r="K31" s="233"/>
      <c r="L31" s="90"/>
      <c r="M31" s="233"/>
      <c r="N31" s="90"/>
      <c r="O31" s="233"/>
      <c r="P31" s="90"/>
      <c r="Q31" s="90"/>
      <c r="R31" s="179"/>
      <c r="S31" s="29"/>
      <c r="T31" s="222"/>
      <c r="U31" s="116"/>
      <c r="V31" s="222"/>
      <c r="W31" s="222"/>
      <c r="X31" s="324"/>
      <c r="Y31" s="152"/>
      <c r="Z31" s="341"/>
      <c r="AA31" s="100"/>
      <c r="AB31" s="125"/>
      <c r="AC31" s="100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116"/>
    </row>
    <row r="32" spans="1:45" s="22" customFormat="1" x14ac:dyDescent="0.2">
      <c r="A32" s="41" t="s">
        <v>87</v>
      </c>
      <c r="B32" s="13"/>
      <c r="C32" s="178"/>
      <c r="D32" s="157"/>
      <c r="E32" s="48"/>
      <c r="F32" s="29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9"/>
      <c r="S32" s="29"/>
      <c r="T32" s="222"/>
      <c r="U32" s="116"/>
      <c r="V32" s="18"/>
      <c r="W32" s="18"/>
      <c r="X32" s="324"/>
      <c r="Y32" s="154"/>
      <c r="Z32" s="340"/>
      <c r="AA32" s="110"/>
      <c r="AB32" s="127"/>
      <c r="AC32" s="110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7"/>
    </row>
    <row r="33" spans="1:45" s="22" customFormat="1" x14ac:dyDescent="0.2">
      <c r="A33" s="171" t="s">
        <v>558</v>
      </c>
      <c r="B33" s="145" t="s">
        <v>559</v>
      </c>
      <c r="C33" s="87" t="s">
        <v>574</v>
      </c>
      <c r="D33" s="101">
        <v>10</v>
      </c>
      <c r="E33" s="48">
        <v>0.1</v>
      </c>
      <c r="F33" s="88">
        <v>42185</v>
      </c>
      <c r="G33" s="101">
        <v>120</v>
      </c>
      <c r="H33" s="201">
        <f>100/G33</f>
        <v>0.83333333333333337</v>
      </c>
      <c r="I33" s="233">
        <f t="shared" ref="I33" si="14">H33*J33</f>
        <v>7.5</v>
      </c>
      <c r="J33" s="90">
        <f>(YEAR(F33)-YEAR(S33))*12+MONTH(F33)-MONTH(S33)</f>
        <v>9</v>
      </c>
      <c r="K33" s="233">
        <f>L33*H33</f>
        <v>92.5</v>
      </c>
      <c r="L33" s="90">
        <f>G33-J33</f>
        <v>111</v>
      </c>
      <c r="M33" s="233">
        <f>N33*H33</f>
        <v>5.8333333333333339</v>
      </c>
      <c r="N33" s="90">
        <v>7</v>
      </c>
      <c r="O33" s="233">
        <f t="shared" ref="O33" si="15">K33-M33</f>
        <v>86.666666666666671</v>
      </c>
      <c r="P33" s="90">
        <f t="shared" ref="P33" si="16">L33-N33</f>
        <v>104</v>
      </c>
      <c r="Q33" s="90">
        <f t="shared" ref="Q33" si="17">M33-O33</f>
        <v>-80.833333333333343</v>
      </c>
      <c r="R33" s="179" t="s">
        <v>754</v>
      </c>
      <c r="S33" s="29">
        <v>41900</v>
      </c>
      <c r="T33" s="222">
        <v>2974.32</v>
      </c>
      <c r="U33" s="116">
        <v>24.79</v>
      </c>
      <c r="V33" s="222">
        <v>297.476</v>
      </c>
      <c r="W33" s="222">
        <v>2676.8440000000001</v>
      </c>
      <c r="X33" s="324">
        <v>24.79</v>
      </c>
      <c r="Y33" s="152">
        <f>X33*5</f>
        <v>123.94999999999999</v>
      </c>
      <c r="Z33" s="341">
        <f>W33-Y33</f>
        <v>2552.8940000000002</v>
      </c>
      <c r="AA33" s="100">
        <v>115.958</v>
      </c>
      <c r="AB33" s="100">
        <v>113.93899999999999</v>
      </c>
      <c r="AC33" s="100">
        <f>AA33/AB33</f>
        <v>1.0177200080744961</v>
      </c>
      <c r="AD33" s="98">
        <f>Z33*M33/100/K33*100/7</f>
        <v>22.999045045045047</v>
      </c>
      <c r="AE33" s="98">
        <f>AD33*AC33</f>
        <v>23.406588308948947</v>
      </c>
      <c r="AF33" s="98"/>
      <c r="AG33" s="98"/>
      <c r="AH33" s="98"/>
      <c r="AI33" s="98"/>
      <c r="AJ33" s="98"/>
      <c r="AK33" s="98">
        <f>AE33</f>
        <v>23.406588308948947</v>
      </c>
      <c r="AL33" s="98">
        <v>23.406588308948947</v>
      </c>
      <c r="AM33" s="98">
        <v>23.406588308948947</v>
      </c>
      <c r="AN33" s="98">
        <v>23.406588308948947</v>
      </c>
      <c r="AO33" s="98">
        <v>23.406588308948947</v>
      </c>
      <c r="AP33" s="98">
        <v>23.406588308948947</v>
      </c>
      <c r="AQ33" s="98">
        <v>23.406588308948947</v>
      </c>
      <c r="AR33" s="98">
        <f>SUM(AF33:AQ33)</f>
        <v>163.84611816264265</v>
      </c>
      <c r="AS33" s="116">
        <f>Z33-AR33</f>
        <v>2389.0478818373576</v>
      </c>
    </row>
    <row r="34" spans="1:45" s="22" customFormat="1" x14ac:dyDescent="0.2">
      <c r="A34" s="171" t="s">
        <v>558</v>
      </c>
      <c r="B34" s="145" t="s">
        <v>560</v>
      </c>
      <c r="C34" s="87" t="s">
        <v>574</v>
      </c>
      <c r="D34" s="101">
        <v>10</v>
      </c>
      <c r="E34" s="48">
        <v>0.1</v>
      </c>
      <c r="F34" s="88">
        <v>42185</v>
      </c>
      <c r="G34" s="101">
        <v>120</v>
      </c>
      <c r="H34" s="201">
        <f>100/G34</f>
        <v>0.83333333333333337</v>
      </c>
      <c r="I34" s="233">
        <f t="shared" ref="I34:I35" si="18">H34*J34</f>
        <v>7.5</v>
      </c>
      <c r="J34" s="90">
        <f>(YEAR(F34)-YEAR(S34))*12+MONTH(F34)-MONTH(S34)</f>
        <v>9</v>
      </c>
      <c r="K34" s="233">
        <f>L34*H34</f>
        <v>92.5</v>
      </c>
      <c r="L34" s="90">
        <f>G34-J34</f>
        <v>111</v>
      </c>
      <c r="M34" s="233">
        <f>N34*H34</f>
        <v>5.8333333333333339</v>
      </c>
      <c r="N34" s="90">
        <v>7</v>
      </c>
      <c r="O34" s="233">
        <f t="shared" ref="O34:Q35" si="19">K34-M34</f>
        <v>86.666666666666671</v>
      </c>
      <c r="P34" s="90">
        <f t="shared" si="19"/>
        <v>104</v>
      </c>
      <c r="Q34" s="90">
        <f t="shared" si="19"/>
        <v>-80.833333333333343</v>
      </c>
      <c r="R34" s="179" t="s">
        <v>754</v>
      </c>
      <c r="S34" s="29">
        <v>41900</v>
      </c>
      <c r="T34" s="222">
        <v>10701</v>
      </c>
      <c r="U34" s="116">
        <v>89.18</v>
      </c>
      <c r="V34" s="222">
        <v>1070.1550000000004</v>
      </c>
      <c r="W34" s="222">
        <v>9630.8449999999993</v>
      </c>
      <c r="X34" s="324">
        <v>89.18</v>
      </c>
      <c r="Y34" s="152">
        <f>X34*5</f>
        <v>445.90000000000003</v>
      </c>
      <c r="Z34" s="341">
        <f>W34-Y34</f>
        <v>9184.9449999999997</v>
      </c>
      <c r="AA34" s="100">
        <v>115.958</v>
      </c>
      <c r="AB34" s="100">
        <v>113.93899999999999</v>
      </c>
      <c r="AC34" s="100">
        <f>AA34/AB34</f>
        <v>1.0177200080744961</v>
      </c>
      <c r="AD34" s="98">
        <f>Z34*M34/100/K34*100/7</f>
        <v>82.747252252252267</v>
      </c>
      <c r="AE34" s="98">
        <f>AD34*AC34</f>
        <v>84.213534230304546</v>
      </c>
      <c r="AF34" s="98"/>
      <c r="AG34" s="98"/>
      <c r="AH34" s="98"/>
      <c r="AI34" s="98"/>
      <c r="AJ34" s="98"/>
      <c r="AK34" s="98">
        <f>AE34</f>
        <v>84.213534230304546</v>
      </c>
      <c r="AL34" s="98">
        <v>84.213534230304546</v>
      </c>
      <c r="AM34" s="98">
        <v>84.213534230304546</v>
      </c>
      <c r="AN34" s="98">
        <v>84.213534230304546</v>
      </c>
      <c r="AO34" s="98">
        <v>84.213534230304546</v>
      </c>
      <c r="AP34" s="98">
        <v>84.213534230304546</v>
      </c>
      <c r="AQ34" s="98">
        <v>84.213534230304546</v>
      </c>
      <c r="AR34" s="98">
        <f>SUM(AF34:AQ34)</f>
        <v>589.49473961213187</v>
      </c>
      <c r="AS34" s="116">
        <f>Z34-AR34</f>
        <v>8595.4502603878682</v>
      </c>
    </row>
    <row r="35" spans="1:45" s="22" customFormat="1" x14ac:dyDescent="0.2">
      <c r="A35" s="171" t="s">
        <v>558</v>
      </c>
      <c r="B35" s="145" t="s">
        <v>561</v>
      </c>
      <c r="C35" s="87" t="s">
        <v>574</v>
      </c>
      <c r="D35" s="101">
        <v>10</v>
      </c>
      <c r="E35" s="48">
        <v>0.1</v>
      </c>
      <c r="F35" s="88">
        <v>42185</v>
      </c>
      <c r="G35" s="101">
        <v>120</v>
      </c>
      <c r="H35" s="201">
        <f>100/G35</f>
        <v>0.83333333333333337</v>
      </c>
      <c r="I35" s="233">
        <f t="shared" si="18"/>
        <v>7.5</v>
      </c>
      <c r="J35" s="90">
        <f>(YEAR(F35)-YEAR(S35))*12+MONTH(F35)-MONTH(S35)</f>
        <v>9</v>
      </c>
      <c r="K35" s="233">
        <f>L35*H35</f>
        <v>92.5</v>
      </c>
      <c r="L35" s="90">
        <f>G35-J35</f>
        <v>111</v>
      </c>
      <c r="M35" s="233">
        <f>N35*H35</f>
        <v>5.8333333333333339</v>
      </c>
      <c r="N35" s="90">
        <v>7</v>
      </c>
      <c r="O35" s="233">
        <f t="shared" si="19"/>
        <v>86.666666666666671</v>
      </c>
      <c r="P35" s="90">
        <f t="shared" si="19"/>
        <v>104</v>
      </c>
      <c r="Q35" s="90">
        <f t="shared" si="19"/>
        <v>-80.833333333333343</v>
      </c>
      <c r="R35" s="179" t="s">
        <v>754</v>
      </c>
      <c r="S35" s="29">
        <v>41900</v>
      </c>
      <c r="T35" s="222">
        <v>2209.9899999999998</v>
      </c>
      <c r="U35" s="116">
        <v>18.420000000000002</v>
      </c>
      <c r="V35" s="222">
        <v>221.0365833333334</v>
      </c>
      <c r="W35" s="222">
        <v>1988.9534166666663</v>
      </c>
      <c r="X35" s="324">
        <v>18.420000000000002</v>
      </c>
      <c r="Y35" s="152">
        <f>X35*5</f>
        <v>92.100000000000009</v>
      </c>
      <c r="Z35" s="341">
        <f>W35-Y35</f>
        <v>1896.8534166666664</v>
      </c>
      <c r="AA35" s="100">
        <v>115.958</v>
      </c>
      <c r="AB35" s="100">
        <v>113.93899999999999</v>
      </c>
      <c r="AC35" s="100">
        <f>AA35/AB35</f>
        <v>1.0177200080744961</v>
      </c>
      <c r="AD35" s="98">
        <f>Z35*M35/100/K35*100/7</f>
        <v>17.088769519519516</v>
      </c>
      <c r="AE35" s="98">
        <f>AD35*AC35</f>
        <v>17.391582653388607</v>
      </c>
      <c r="AF35" s="98"/>
      <c r="AG35" s="98"/>
      <c r="AH35" s="98"/>
      <c r="AI35" s="98"/>
      <c r="AJ35" s="98"/>
      <c r="AK35" s="98">
        <f>AE35</f>
        <v>17.391582653388607</v>
      </c>
      <c r="AL35" s="98">
        <v>17.391582653388607</v>
      </c>
      <c r="AM35" s="98">
        <v>17.391582653388607</v>
      </c>
      <c r="AN35" s="98">
        <v>17.391582653388607</v>
      </c>
      <c r="AO35" s="98">
        <v>17.391582653388607</v>
      </c>
      <c r="AP35" s="98">
        <v>17.391582653388607</v>
      </c>
      <c r="AQ35" s="98">
        <v>17.391582653388607</v>
      </c>
      <c r="AR35" s="98">
        <f>SUM(AF35:AQ35)</f>
        <v>121.74107857372026</v>
      </c>
      <c r="AS35" s="116">
        <f>Z35-AR35</f>
        <v>1775.1123380929462</v>
      </c>
    </row>
    <row r="36" spans="1:45" s="22" customFormat="1" x14ac:dyDescent="0.2">
      <c r="A36" s="41" t="s">
        <v>74</v>
      </c>
      <c r="B36" s="41"/>
      <c r="C36" s="87"/>
      <c r="D36" s="101"/>
      <c r="E36" s="38"/>
      <c r="F36" s="29"/>
      <c r="G36" s="101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88"/>
      <c r="S36" s="29"/>
      <c r="T36" s="222"/>
      <c r="U36" s="160"/>
      <c r="V36" s="222"/>
      <c r="W36" s="222"/>
      <c r="X36" s="12"/>
      <c r="Y36" s="152"/>
      <c r="Z36" s="341"/>
      <c r="AA36" s="100"/>
      <c r="AB36" s="100"/>
      <c r="AC36" s="100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116"/>
    </row>
    <row r="37" spans="1:45" s="22" customFormat="1" x14ac:dyDescent="0.2">
      <c r="A37" s="41" t="s">
        <v>102</v>
      </c>
      <c r="B37" s="13"/>
      <c r="C37" s="178"/>
      <c r="D37" s="157"/>
      <c r="E37" s="38"/>
      <c r="F37" s="29"/>
      <c r="G37" s="12"/>
      <c r="H37" s="201"/>
      <c r="I37" s="233"/>
      <c r="J37" s="90"/>
      <c r="K37" s="233"/>
      <c r="L37" s="90"/>
      <c r="M37" s="233"/>
      <c r="N37" s="90"/>
      <c r="O37" s="233"/>
      <c r="P37" s="90"/>
      <c r="Q37" s="90"/>
      <c r="R37" s="179"/>
      <c r="S37" s="29"/>
      <c r="T37" s="222"/>
      <c r="U37" s="116"/>
      <c r="V37" s="222"/>
      <c r="W37" s="222"/>
      <c r="X37" s="324"/>
      <c r="Y37" s="152"/>
      <c r="Z37" s="341"/>
      <c r="AA37" s="100"/>
      <c r="AB37" s="127"/>
      <c r="AC37" s="100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116"/>
    </row>
    <row r="38" spans="1:45" s="22" customFormat="1" x14ac:dyDescent="0.2">
      <c r="A38" s="171" t="s">
        <v>562</v>
      </c>
      <c r="B38" s="145" t="s">
        <v>563</v>
      </c>
      <c r="C38" s="87" t="s">
        <v>574</v>
      </c>
      <c r="D38" s="101">
        <v>10</v>
      </c>
      <c r="E38" s="48">
        <v>0.1</v>
      </c>
      <c r="F38" s="88">
        <v>42185</v>
      </c>
      <c r="G38" s="101">
        <v>120</v>
      </c>
      <c r="H38" s="201">
        <f>100/G38</f>
        <v>0.83333333333333337</v>
      </c>
      <c r="I38" s="233">
        <f t="shared" ref="I38" si="20">H38*J38</f>
        <v>7.5</v>
      </c>
      <c r="J38" s="90">
        <f>(YEAR(F38)-YEAR(S38))*12+MONTH(F38)-MONTH(S38)</f>
        <v>9</v>
      </c>
      <c r="K38" s="233">
        <f>L38*H38</f>
        <v>92.5</v>
      </c>
      <c r="L38" s="90">
        <f>G38-J38</f>
        <v>111</v>
      </c>
      <c r="M38" s="233">
        <f>N38*H38</f>
        <v>5.8333333333333339</v>
      </c>
      <c r="N38" s="90">
        <v>7</v>
      </c>
      <c r="O38" s="233">
        <f t="shared" ref="O38:Q38" si="21">K38-M38</f>
        <v>86.666666666666671</v>
      </c>
      <c r="P38" s="90">
        <f t="shared" si="21"/>
        <v>104</v>
      </c>
      <c r="Q38" s="90">
        <f t="shared" si="21"/>
        <v>-80.833333333333343</v>
      </c>
      <c r="R38" s="179" t="s">
        <v>754</v>
      </c>
      <c r="S38" s="29">
        <v>41900</v>
      </c>
      <c r="T38" s="222">
        <v>2246.39</v>
      </c>
      <c r="U38" s="116">
        <v>18.72</v>
      </c>
      <c r="V38" s="222">
        <v>224.63991666666666</v>
      </c>
      <c r="W38" s="222">
        <v>2021.7500833333331</v>
      </c>
      <c r="X38" s="324">
        <v>18.72</v>
      </c>
      <c r="Y38" s="152">
        <f>X38*5</f>
        <v>93.6</v>
      </c>
      <c r="Z38" s="341">
        <f>W38-Y38</f>
        <v>1928.1500833333332</v>
      </c>
      <c r="AA38" s="100">
        <v>115.958</v>
      </c>
      <c r="AB38" s="100">
        <v>113.93899999999999</v>
      </c>
      <c r="AC38" s="100">
        <f>AA38/AB38</f>
        <v>1.0177200080744961</v>
      </c>
      <c r="AD38" s="98">
        <f>Z38*M38/100/K38*100/7</f>
        <v>17.370721471471473</v>
      </c>
      <c r="AE38" s="98">
        <f>AD38*AC38</f>
        <v>17.67853079620577</v>
      </c>
      <c r="AF38" s="98"/>
      <c r="AG38" s="98"/>
      <c r="AH38" s="98"/>
      <c r="AI38" s="98"/>
      <c r="AJ38" s="98"/>
      <c r="AK38" s="98">
        <f>AE38</f>
        <v>17.67853079620577</v>
      </c>
      <c r="AL38" s="98">
        <v>17.67853079620577</v>
      </c>
      <c r="AM38" s="98">
        <v>17.67853079620577</v>
      </c>
      <c r="AN38" s="98">
        <v>17.67853079620577</v>
      </c>
      <c r="AO38" s="98">
        <v>17.67853079620577</v>
      </c>
      <c r="AP38" s="98">
        <v>17.67853079620577</v>
      </c>
      <c r="AQ38" s="98">
        <v>17.67853079620577</v>
      </c>
      <c r="AR38" s="98">
        <f>SUM(AF38:AQ38)</f>
        <v>123.74971557344037</v>
      </c>
      <c r="AS38" s="116">
        <f>Z38-AR38</f>
        <v>1804.4003677598928</v>
      </c>
    </row>
    <row r="39" spans="1:45" s="22" customFormat="1" ht="13.5" x14ac:dyDescent="0.25">
      <c r="A39" s="41" t="s">
        <v>68</v>
      </c>
      <c r="B39" s="41"/>
      <c r="C39" s="101"/>
      <c r="D39" s="119"/>
      <c r="E39" s="46"/>
      <c r="F39" s="15"/>
      <c r="G39" s="101"/>
      <c r="H39" s="201"/>
      <c r="I39" s="233"/>
      <c r="J39" s="90"/>
      <c r="K39" s="233"/>
      <c r="L39" s="90"/>
      <c r="M39" s="233"/>
      <c r="N39" s="90"/>
      <c r="O39" s="233"/>
      <c r="P39" s="90"/>
      <c r="Q39" s="90"/>
      <c r="R39" s="88"/>
      <c r="S39" s="15"/>
      <c r="T39" s="224"/>
      <c r="U39" s="160"/>
      <c r="V39" s="222"/>
      <c r="W39" s="222"/>
      <c r="X39" s="12"/>
      <c r="Y39" s="152"/>
      <c r="Z39" s="341"/>
      <c r="AA39" s="100"/>
      <c r="AB39" s="125"/>
      <c r="AC39" s="100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116"/>
    </row>
    <row r="40" spans="1:45" s="22" customFormat="1" ht="13.5" x14ac:dyDescent="0.25">
      <c r="A40" s="41" t="s">
        <v>238</v>
      </c>
      <c r="B40" s="54"/>
      <c r="C40" s="46"/>
      <c r="D40" s="119"/>
      <c r="E40" s="46"/>
      <c r="F40" s="15"/>
      <c r="G40" s="101"/>
      <c r="H40" s="201"/>
      <c r="I40" s="233"/>
      <c r="J40" s="90"/>
      <c r="K40" s="233"/>
      <c r="L40" s="90"/>
      <c r="M40" s="233"/>
      <c r="N40" s="90"/>
      <c r="O40" s="233"/>
      <c r="P40" s="90"/>
      <c r="Q40" s="90"/>
      <c r="R40" s="179"/>
      <c r="S40" s="15"/>
      <c r="T40" s="224"/>
      <c r="U40" s="116"/>
      <c r="V40" s="222"/>
      <c r="W40" s="222"/>
      <c r="X40" s="324"/>
      <c r="Y40" s="152"/>
      <c r="Z40" s="341"/>
      <c r="AA40" s="100"/>
      <c r="AB40" s="125"/>
      <c r="AC40" s="100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116"/>
    </row>
    <row r="41" spans="1:45" s="22" customFormat="1" x14ac:dyDescent="0.2">
      <c r="A41" s="171" t="s">
        <v>564</v>
      </c>
      <c r="B41" s="145" t="s">
        <v>565</v>
      </c>
      <c r="C41" s="87" t="s">
        <v>574</v>
      </c>
      <c r="D41" s="101">
        <v>3</v>
      </c>
      <c r="E41" s="48">
        <v>0.33329999999999999</v>
      </c>
      <c r="F41" s="88">
        <v>42185</v>
      </c>
      <c r="G41" s="12">
        <v>36</v>
      </c>
      <c r="H41" s="201">
        <f>100/G41</f>
        <v>2.7777777777777777</v>
      </c>
      <c r="I41" s="233">
        <f t="shared" ref="I41" si="22">H41*J41</f>
        <v>25</v>
      </c>
      <c r="J41" s="90">
        <f>(YEAR(F41)-YEAR(S41))*12+MONTH(F41)-MONTH(S41)</f>
        <v>9</v>
      </c>
      <c r="K41" s="233">
        <f>L41*H41</f>
        <v>75</v>
      </c>
      <c r="L41" s="90">
        <f>G41-J41</f>
        <v>27</v>
      </c>
      <c r="M41" s="233">
        <f>N41*H41</f>
        <v>19.444444444444443</v>
      </c>
      <c r="N41" s="90">
        <v>7</v>
      </c>
      <c r="O41" s="233">
        <f t="shared" ref="O41" si="23">K41-M41</f>
        <v>55.555555555555557</v>
      </c>
      <c r="P41" s="90">
        <f t="shared" ref="P41" si="24">L41-N41</f>
        <v>20</v>
      </c>
      <c r="Q41" s="90">
        <f t="shared" ref="Q41" si="25">M41-O41</f>
        <v>-36.111111111111114</v>
      </c>
      <c r="R41" s="179" t="s">
        <v>754</v>
      </c>
      <c r="S41" s="29">
        <v>41900</v>
      </c>
      <c r="T41" s="222">
        <v>3986.98</v>
      </c>
      <c r="U41" s="116">
        <v>110.74</v>
      </c>
      <c r="V41" s="222">
        <v>1328.8783695</v>
      </c>
      <c r="W41" s="222">
        <v>2658.1016305000003</v>
      </c>
      <c r="X41" s="324">
        <v>110.74</v>
      </c>
      <c r="Y41" s="152">
        <f>X41*5</f>
        <v>553.69999999999993</v>
      </c>
      <c r="Z41" s="341">
        <f>W41-Y41</f>
        <v>2104.4016305000005</v>
      </c>
      <c r="AA41" s="100">
        <v>115.958</v>
      </c>
      <c r="AB41" s="100">
        <v>113.93899999999999</v>
      </c>
      <c r="AC41" s="100">
        <f>AA41/AB41</f>
        <v>1.0177200080744961</v>
      </c>
      <c r="AD41" s="98">
        <f>Z41*M41/100/K41*100/7</f>
        <v>77.940801129629648</v>
      </c>
      <c r="AE41" s="98">
        <f>AD41*AC41</f>
        <v>79.32191275497938</v>
      </c>
      <c r="AF41" s="98"/>
      <c r="AG41" s="98"/>
      <c r="AH41" s="98"/>
      <c r="AI41" s="98"/>
      <c r="AJ41" s="98"/>
      <c r="AK41" s="98">
        <f>AE41</f>
        <v>79.32191275497938</v>
      </c>
      <c r="AL41" s="98">
        <v>79.32191275497938</v>
      </c>
      <c r="AM41" s="98">
        <v>79.32191275497938</v>
      </c>
      <c r="AN41" s="98">
        <v>79.32191275497938</v>
      </c>
      <c r="AO41" s="98">
        <v>79.32191275497938</v>
      </c>
      <c r="AP41" s="98">
        <v>79.32191275497938</v>
      </c>
      <c r="AQ41" s="98">
        <v>79.32191275497938</v>
      </c>
      <c r="AR41" s="98">
        <f>SUM(AF41:AQ41)</f>
        <v>555.25338928485564</v>
      </c>
      <c r="AS41" s="116">
        <f>Z41-AR41</f>
        <v>1549.1482412151449</v>
      </c>
    </row>
    <row r="42" spans="1:45" s="22" customFormat="1" ht="13.5" x14ac:dyDescent="0.25">
      <c r="A42" s="172" t="s">
        <v>68</v>
      </c>
      <c r="B42" s="41"/>
      <c r="C42" s="101"/>
      <c r="D42" s="119"/>
      <c r="E42" s="46"/>
      <c r="F42" s="15"/>
      <c r="G42" s="101"/>
      <c r="H42" s="201"/>
      <c r="I42" s="233"/>
      <c r="J42" s="90"/>
      <c r="K42" s="233"/>
      <c r="L42" s="90"/>
      <c r="M42" s="233"/>
      <c r="N42" s="90"/>
      <c r="O42" s="233"/>
      <c r="P42" s="90"/>
      <c r="Q42" s="90"/>
      <c r="R42" s="179"/>
      <c r="S42" s="15"/>
      <c r="T42" s="224"/>
      <c r="U42" s="116"/>
      <c r="V42" s="222"/>
      <c r="W42" s="222"/>
      <c r="X42" s="324"/>
      <c r="Y42" s="152"/>
      <c r="Z42" s="340"/>
      <c r="AA42" s="100"/>
      <c r="AB42" s="125"/>
      <c r="AC42" s="100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116"/>
    </row>
    <row r="43" spans="1:45" s="22" customFormat="1" ht="13.5" x14ac:dyDescent="0.25">
      <c r="A43" s="172" t="s">
        <v>569</v>
      </c>
      <c r="B43" s="54"/>
      <c r="C43" s="46"/>
      <c r="D43" s="119"/>
      <c r="E43" s="46"/>
      <c r="F43" s="15"/>
      <c r="G43" s="101"/>
      <c r="H43" s="201"/>
      <c r="I43" s="233"/>
      <c r="J43" s="90"/>
      <c r="K43" s="233"/>
      <c r="L43" s="90"/>
      <c r="M43" s="233"/>
      <c r="N43" s="90"/>
      <c r="O43" s="233"/>
      <c r="P43" s="90"/>
      <c r="Q43" s="90"/>
      <c r="R43" s="179"/>
      <c r="S43" s="15"/>
      <c r="T43" s="224"/>
      <c r="U43" s="116"/>
      <c r="V43" s="222"/>
      <c r="W43" s="222"/>
      <c r="X43" s="324"/>
      <c r="Y43" s="152"/>
      <c r="Z43" s="341"/>
      <c r="AA43" s="100"/>
      <c r="AB43" s="125"/>
      <c r="AC43" s="100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116"/>
    </row>
    <row r="44" spans="1:45" s="22" customFormat="1" x14ac:dyDescent="0.2">
      <c r="A44" s="171" t="s">
        <v>570</v>
      </c>
      <c r="B44" s="145" t="s">
        <v>571</v>
      </c>
      <c r="C44" s="87" t="s">
        <v>574</v>
      </c>
      <c r="D44" s="101">
        <v>3</v>
      </c>
      <c r="E44" s="48">
        <v>0.33329999999999999</v>
      </c>
      <c r="F44" s="88">
        <v>42185</v>
      </c>
      <c r="G44" s="12">
        <v>36</v>
      </c>
      <c r="H44" s="201">
        <f>100/G44</f>
        <v>2.7777777777777777</v>
      </c>
      <c r="I44" s="233">
        <f t="shared" ref="I44" si="26">H44*J44</f>
        <v>25</v>
      </c>
      <c r="J44" s="90">
        <f>(YEAR(F44)-YEAR(S44))*12+MONTH(F44)-MONTH(S44)</f>
        <v>9</v>
      </c>
      <c r="K44" s="233">
        <f>L44*H44</f>
        <v>75</v>
      </c>
      <c r="L44" s="90">
        <f>G44-J44</f>
        <v>27</v>
      </c>
      <c r="M44" s="233">
        <f>N44*H44</f>
        <v>19.444444444444443</v>
      </c>
      <c r="N44" s="90">
        <v>7</v>
      </c>
      <c r="O44" s="233">
        <f t="shared" ref="O44:Q44" si="27">K44-M44</f>
        <v>55.555555555555557</v>
      </c>
      <c r="P44" s="90">
        <f t="shared" si="27"/>
        <v>20</v>
      </c>
      <c r="Q44" s="90">
        <f t="shared" si="27"/>
        <v>-36.111111111111114</v>
      </c>
      <c r="R44" s="179" t="s">
        <v>754</v>
      </c>
      <c r="S44" s="29">
        <v>41900</v>
      </c>
      <c r="T44" s="222">
        <v>7259.99</v>
      </c>
      <c r="U44" s="116">
        <v>201.65</v>
      </c>
      <c r="V44" s="222">
        <v>2419.7962222500005</v>
      </c>
      <c r="W44" s="222">
        <v>4840.1937777499988</v>
      </c>
      <c r="X44" s="324">
        <v>201.65</v>
      </c>
      <c r="Y44" s="152">
        <f>X44*5</f>
        <v>1008.25</v>
      </c>
      <c r="Z44" s="341">
        <f>W44-Y44</f>
        <v>3831.9437777499988</v>
      </c>
      <c r="AA44" s="100">
        <v>115.958</v>
      </c>
      <c r="AB44" s="100">
        <v>113.93899999999999</v>
      </c>
      <c r="AC44" s="100">
        <f>AA44/AB44</f>
        <v>1.0177200080744961</v>
      </c>
      <c r="AD44" s="98">
        <f>Z44*M44/100/K44*100/7</f>
        <v>141.92384362037029</v>
      </c>
      <c r="AE44" s="98">
        <f>AD44*AC44</f>
        <v>144.43873527528677</v>
      </c>
      <c r="AF44" s="98"/>
      <c r="AG44" s="98"/>
      <c r="AH44" s="98"/>
      <c r="AI44" s="98"/>
      <c r="AJ44" s="98"/>
      <c r="AK44" s="98">
        <f>AE44</f>
        <v>144.43873527528677</v>
      </c>
      <c r="AL44" s="98">
        <v>144.43873527528677</v>
      </c>
      <c r="AM44" s="98">
        <v>144.43873527528677</v>
      </c>
      <c r="AN44" s="98">
        <v>144.43873527528677</v>
      </c>
      <c r="AO44" s="98">
        <v>144.43873527528677</v>
      </c>
      <c r="AP44" s="98">
        <v>144.43873527528677</v>
      </c>
      <c r="AQ44" s="98">
        <v>144.43873527528677</v>
      </c>
      <c r="AR44" s="98">
        <f>SUM(AF44:AQ44)</f>
        <v>1011.0711469270072</v>
      </c>
      <c r="AS44" s="116">
        <f>Z44-AR44</f>
        <v>2820.8726308229916</v>
      </c>
    </row>
    <row r="45" spans="1:45" s="22" customFormat="1" ht="13.5" x14ac:dyDescent="0.25">
      <c r="A45" s="41" t="s">
        <v>68</v>
      </c>
      <c r="B45" s="41"/>
      <c r="C45" s="101"/>
      <c r="D45" s="119"/>
      <c r="E45" s="46"/>
      <c r="F45" s="15"/>
      <c r="G45" s="101"/>
      <c r="H45" s="201"/>
      <c r="I45" s="233"/>
      <c r="J45" s="90"/>
      <c r="K45" s="233"/>
      <c r="L45" s="90"/>
      <c r="M45" s="233"/>
      <c r="N45" s="90"/>
      <c r="O45" s="233"/>
      <c r="P45" s="90"/>
      <c r="Q45" s="90"/>
      <c r="R45" s="179"/>
      <c r="S45" s="15"/>
      <c r="T45" s="224"/>
      <c r="U45" s="116"/>
      <c r="V45" s="222"/>
      <c r="W45" s="222"/>
      <c r="X45" s="324"/>
      <c r="Y45" s="152"/>
      <c r="Z45" s="340"/>
      <c r="AA45" s="100"/>
      <c r="AB45" s="125"/>
      <c r="AC45" s="100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116"/>
    </row>
    <row r="46" spans="1:45" s="22" customFormat="1" ht="13.5" x14ac:dyDescent="0.25">
      <c r="A46" s="172" t="s">
        <v>566</v>
      </c>
      <c r="B46" s="54"/>
      <c r="C46" s="46"/>
      <c r="D46" s="119"/>
      <c r="E46" s="46"/>
      <c r="F46" s="15"/>
      <c r="G46" s="101"/>
      <c r="H46" s="201"/>
      <c r="I46" s="233"/>
      <c r="J46" s="90"/>
      <c r="K46" s="233"/>
      <c r="L46" s="90"/>
      <c r="M46" s="233"/>
      <c r="N46" s="90"/>
      <c r="O46" s="233"/>
      <c r="P46" s="90"/>
      <c r="Q46" s="90"/>
      <c r="R46" s="179"/>
      <c r="S46" s="15"/>
      <c r="T46" s="224"/>
      <c r="U46" s="116"/>
      <c r="V46" s="222"/>
      <c r="W46" s="222"/>
      <c r="X46" s="324"/>
      <c r="Y46" s="152"/>
      <c r="Z46" s="341"/>
      <c r="AA46" s="100"/>
      <c r="AB46" s="125"/>
      <c r="AC46" s="100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116"/>
    </row>
    <row r="47" spans="1:45" s="22" customFormat="1" x14ac:dyDescent="0.2">
      <c r="A47" s="171" t="s">
        <v>567</v>
      </c>
      <c r="B47" s="145" t="s">
        <v>568</v>
      </c>
      <c r="C47" s="87" t="s">
        <v>574</v>
      </c>
      <c r="D47" s="101">
        <v>10</v>
      </c>
      <c r="E47" s="38">
        <v>0.1</v>
      </c>
      <c r="F47" s="88">
        <v>42185</v>
      </c>
      <c r="G47" s="101">
        <v>120</v>
      </c>
      <c r="H47" s="201">
        <f>100/G47</f>
        <v>0.83333333333333337</v>
      </c>
      <c r="I47" s="233">
        <f t="shared" ref="I47" si="28">H47*J47</f>
        <v>7.5</v>
      </c>
      <c r="J47" s="90">
        <f>(YEAR(F47)-YEAR(S47))*12+MONTH(F47)-MONTH(S47)</f>
        <v>9</v>
      </c>
      <c r="K47" s="233">
        <f>L47*H47</f>
        <v>92.5</v>
      </c>
      <c r="L47" s="90">
        <f>G47-J47</f>
        <v>111</v>
      </c>
      <c r="M47" s="233">
        <f>N47*H47</f>
        <v>5.8333333333333339</v>
      </c>
      <c r="N47" s="90">
        <v>7</v>
      </c>
      <c r="O47" s="233">
        <f t="shared" ref="O47:Q47" si="29">K47-M47</f>
        <v>86.666666666666671</v>
      </c>
      <c r="P47" s="90">
        <f t="shared" si="29"/>
        <v>104</v>
      </c>
      <c r="Q47" s="90">
        <f t="shared" si="29"/>
        <v>-80.833333333333343</v>
      </c>
      <c r="R47" s="179" t="s">
        <v>754</v>
      </c>
      <c r="S47" s="29">
        <v>41900</v>
      </c>
      <c r="T47" s="222">
        <v>2900</v>
      </c>
      <c r="U47" s="116">
        <v>24.17</v>
      </c>
      <c r="V47" s="222">
        <v>290.03666666666675</v>
      </c>
      <c r="W47" s="222">
        <v>2609.9633333333331</v>
      </c>
      <c r="X47" s="324">
        <v>24.17</v>
      </c>
      <c r="Y47" s="152">
        <f>X47*5</f>
        <v>120.85000000000001</v>
      </c>
      <c r="Z47" s="341">
        <f>W47-Y47</f>
        <v>2489.1133333333332</v>
      </c>
      <c r="AA47" s="100">
        <v>115.958</v>
      </c>
      <c r="AB47" s="100">
        <v>113.93899999999999</v>
      </c>
      <c r="AC47" s="100">
        <f>AA47/AB47</f>
        <v>1.0177200080744961</v>
      </c>
      <c r="AD47" s="98">
        <f>Z47*M47/100/K47*100/7</f>
        <v>22.424444444444443</v>
      </c>
      <c r="AE47" s="98">
        <f>AD47*AC47</f>
        <v>22.821805781066089</v>
      </c>
      <c r="AF47" s="98"/>
      <c r="AG47" s="98"/>
      <c r="AH47" s="98"/>
      <c r="AI47" s="98"/>
      <c r="AJ47" s="98"/>
      <c r="AK47" s="98">
        <f>AE47</f>
        <v>22.821805781066089</v>
      </c>
      <c r="AL47" s="98">
        <v>22.821805781066089</v>
      </c>
      <c r="AM47" s="98">
        <v>22.821805781066089</v>
      </c>
      <c r="AN47" s="98">
        <v>22.821805781066089</v>
      </c>
      <c r="AO47" s="98">
        <v>22.821805781066089</v>
      </c>
      <c r="AP47" s="98">
        <v>22.821805781066089</v>
      </c>
      <c r="AQ47" s="98">
        <v>22.821805781066089</v>
      </c>
      <c r="AR47" s="98">
        <f>SUM(AF47:AQ47)</f>
        <v>159.75264046746264</v>
      </c>
      <c r="AS47" s="116">
        <f>Z47-AR47</f>
        <v>2329.3606928658705</v>
      </c>
    </row>
    <row r="48" spans="1:45" s="22" customFormat="1" x14ac:dyDescent="0.2">
      <c r="A48" s="41" t="s">
        <v>73</v>
      </c>
      <c r="B48" s="41"/>
      <c r="C48" s="47"/>
      <c r="D48" s="42"/>
      <c r="E48" s="42"/>
      <c r="F48" s="30"/>
      <c r="G48" s="10"/>
      <c r="H48" s="201"/>
      <c r="I48" s="233"/>
      <c r="J48" s="90"/>
      <c r="K48" s="233"/>
      <c r="L48" s="90"/>
      <c r="M48" s="233"/>
      <c r="N48" s="90"/>
      <c r="O48" s="233"/>
      <c r="P48" s="90"/>
      <c r="Q48" s="90"/>
      <c r="R48" s="171"/>
      <c r="S48" s="30"/>
      <c r="T48" s="2"/>
      <c r="U48" s="116"/>
      <c r="V48" s="222"/>
      <c r="W48" s="222"/>
      <c r="X48" s="324"/>
      <c r="Y48" s="152"/>
      <c r="Z48" s="340"/>
      <c r="AA48" s="100"/>
      <c r="AB48" s="126"/>
      <c r="AC48" s="100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116"/>
    </row>
    <row r="49" spans="1:45" s="22" customFormat="1" x14ac:dyDescent="0.2">
      <c r="A49" s="172" t="s">
        <v>353</v>
      </c>
      <c r="B49" s="47"/>
      <c r="C49" s="47"/>
      <c r="D49" s="42"/>
      <c r="E49" s="42"/>
      <c r="F49" s="29"/>
      <c r="G49" s="12"/>
      <c r="H49" s="201"/>
      <c r="I49" s="233"/>
      <c r="J49" s="90"/>
      <c r="K49" s="233"/>
      <c r="L49" s="90"/>
      <c r="M49" s="233"/>
      <c r="N49" s="90"/>
      <c r="O49" s="233"/>
      <c r="P49" s="90"/>
      <c r="Q49" s="90"/>
      <c r="R49" s="179"/>
      <c r="S49" s="29"/>
      <c r="T49" s="18"/>
      <c r="U49" s="116"/>
      <c r="V49" s="222"/>
      <c r="W49" s="222"/>
      <c r="X49" s="324"/>
      <c r="Y49" s="152"/>
      <c r="Z49" s="341"/>
      <c r="AA49" s="100"/>
      <c r="AB49" s="127"/>
      <c r="AC49" s="100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116"/>
    </row>
    <row r="50" spans="1:45" s="22" customFormat="1" x14ac:dyDescent="0.2">
      <c r="A50" s="101" t="s">
        <v>572</v>
      </c>
      <c r="B50" s="87" t="s">
        <v>573</v>
      </c>
      <c r="C50" s="87" t="s">
        <v>574</v>
      </c>
      <c r="D50" s="101">
        <v>3</v>
      </c>
      <c r="E50" s="48">
        <v>0.33329999999999999</v>
      </c>
      <c r="F50" s="88">
        <v>42185</v>
      </c>
      <c r="G50" s="12">
        <v>36</v>
      </c>
      <c r="H50" s="201">
        <f>100/G50</f>
        <v>2.7777777777777777</v>
      </c>
      <c r="I50" s="233">
        <f t="shared" ref="I50" si="30">H50*J50</f>
        <v>25</v>
      </c>
      <c r="J50" s="90">
        <f>(YEAR(F50)-YEAR(S50))*12+MONTH(F50)-MONTH(S50)</f>
        <v>9</v>
      </c>
      <c r="K50" s="233">
        <f>L50*H50</f>
        <v>75</v>
      </c>
      <c r="L50" s="90">
        <f>G50-J50</f>
        <v>27</v>
      </c>
      <c r="M50" s="233">
        <f>N50*H50</f>
        <v>19.444444444444443</v>
      </c>
      <c r="N50" s="90">
        <v>7</v>
      </c>
      <c r="O50" s="233">
        <f t="shared" ref="O50:Q50" si="31">K50-M50</f>
        <v>55.555555555555557</v>
      </c>
      <c r="P50" s="90">
        <f t="shared" si="31"/>
        <v>20</v>
      </c>
      <c r="Q50" s="90">
        <f t="shared" si="31"/>
        <v>-36.111111111111114</v>
      </c>
      <c r="R50" s="179" t="s">
        <v>754</v>
      </c>
      <c r="S50" s="29">
        <v>41900</v>
      </c>
      <c r="T50" s="89">
        <v>650.08000000000004</v>
      </c>
      <c r="U50" s="116">
        <v>18.059999999999999</v>
      </c>
      <c r="V50" s="222">
        <v>216.71597200000002</v>
      </c>
      <c r="W50" s="222">
        <v>433.36402800000002</v>
      </c>
      <c r="X50" s="324">
        <v>18.059999999999999</v>
      </c>
      <c r="Y50" s="152">
        <f>X50*5</f>
        <v>90.3</v>
      </c>
      <c r="Z50" s="341">
        <f>W50-Y50</f>
        <v>343.06402800000001</v>
      </c>
      <c r="AA50" s="100">
        <v>115.958</v>
      </c>
      <c r="AB50" s="100">
        <v>113.93899999999999</v>
      </c>
      <c r="AC50" s="100">
        <f>AA50/AB50</f>
        <v>1.0177200080744961</v>
      </c>
      <c r="AD50" s="98">
        <f>Z50*M50/100/K50*100/7</f>
        <v>12.70607511111111</v>
      </c>
      <c r="AE50" s="98">
        <f>AD50*AC50</f>
        <v>12.931226864675153</v>
      </c>
      <c r="AF50" s="98"/>
      <c r="AG50" s="98"/>
      <c r="AH50" s="98"/>
      <c r="AI50" s="98"/>
      <c r="AJ50" s="98"/>
      <c r="AK50" s="98">
        <f>AE50</f>
        <v>12.931226864675153</v>
      </c>
      <c r="AL50" s="98">
        <v>12.931226864675153</v>
      </c>
      <c r="AM50" s="98">
        <v>12.931226864675153</v>
      </c>
      <c r="AN50" s="98">
        <v>12.931226864675153</v>
      </c>
      <c r="AO50" s="98">
        <v>12.931226864675153</v>
      </c>
      <c r="AP50" s="98">
        <v>12.931226864675153</v>
      </c>
      <c r="AQ50" s="98">
        <v>12.931226864675153</v>
      </c>
      <c r="AR50" s="98">
        <f>SUM(AF50:AQ50)</f>
        <v>90.518588052726074</v>
      </c>
      <c r="AS50" s="116">
        <f>Z50-AR50</f>
        <v>252.54543994727393</v>
      </c>
    </row>
    <row r="51" spans="1:45" x14ac:dyDescent="0.2">
      <c r="R51" s="243"/>
      <c r="V51" s="336"/>
      <c r="W51" s="336"/>
      <c r="Y51" s="309"/>
      <c r="AD51" s="263"/>
      <c r="AE51" s="263"/>
      <c r="AF51" s="263">
        <f>SUM(AF33:AF50)</f>
        <v>0</v>
      </c>
      <c r="AG51" s="263">
        <f>SUM(AG33:AG50)</f>
        <v>0</v>
      </c>
      <c r="AH51" s="263">
        <f>SUM(AH33:AH50)</f>
        <v>0</v>
      </c>
      <c r="AI51" s="263">
        <f>SUM(AI33:AI50)</f>
        <v>0</v>
      </c>
      <c r="AJ51" s="263">
        <f>SUM(AJ33:AJ50)</f>
        <v>0</v>
      </c>
      <c r="AK51" s="263">
        <f t="shared" ref="AK51:AS51" si="32">SUM(AK15:AK50)</f>
        <v>1072.0937071485866</v>
      </c>
      <c r="AL51" s="263"/>
      <c r="AM51" s="263"/>
      <c r="AN51" s="263"/>
      <c r="AO51" s="263"/>
      <c r="AP51" s="263">
        <f t="shared" si="32"/>
        <v>1072.0937071485866</v>
      </c>
      <c r="AQ51" s="374">
        <f t="shared" si="32"/>
        <v>1072.0937071485866</v>
      </c>
      <c r="AR51" s="263">
        <f t="shared" si="32"/>
        <v>7504.6559500401063</v>
      </c>
      <c r="AS51" s="263">
        <f t="shared" si="32"/>
        <v>43626.428771959901</v>
      </c>
    </row>
    <row r="52" spans="1:45" s="150" customFormat="1" x14ac:dyDescent="0.2">
      <c r="A52" s="156" t="s">
        <v>460</v>
      </c>
      <c r="B52" s="132"/>
      <c r="C52" s="132"/>
      <c r="D52" s="133"/>
      <c r="E52" s="133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4"/>
      <c r="S52" s="134"/>
      <c r="T52" s="135"/>
      <c r="U52" s="135"/>
      <c r="V52" s="135"/>
      <c r="W52" s="135"/>
      <c r="X52" s="135"/>
      <c r="Z52"/>
      <c r="AA52"/>
      <c r="AB52" s="121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 s="113"/>
    </row>
    <row r="53" spans="1:45" s="150" customFormat="1" x14ac:dyDescent="0.2">
      <c r="A53" s="310" t="s">
        <v>719</v>
      </c>
      <c r="B53" s="311"/>
      <c r="C53" s="311"/>
      <c r="D53" s="312"/>
      <c r="E53" s="312"/>
      <c r="F53"/>
      <c r="G53"/>
      <c r="H53"/>
      <c r="I53"/>
      <c r="J53"/>
      <c r="K53"/>
      <c r="L53"/>
      <c r="M53"/>
      <c r="N53"/>
      <c r="O53"/>
      <c r="P53"/>
      <c r="Q53"/>
      <c r="R53" s="28"/>
      <c r="S53" s="28"/>
      <c r="T53" s="16"/>
      <c r="U53" s="16"/>
      <c r="V53" s="16"/>
      <c r="W53" s="16"/>
      <c r="X53" s="16"/>
      <c r="Z53"/>
      <c r="AA53"/>
      <c r="AB53" s="130"/>
      <c r="AC53"/>
      <c r="AD53"/>
      <c r="AE53" s="16"/>
      <c r="AF53"/>
      <c r="AG53"/>
      <c r="AH53"/>
      <c r="AI53"/>
      <c r="AJ53"/>
      <c r="AK53"/>
      <c r="AL53"/>
      <c r="AM53"/>
      <c r="AN53"/>
      <c r="AO53"/>
      <c r="AP53"/>
      <c r="AQ53"/>
      <c r="AR53" s="338"/>
      <c r="AS53" s="113"/>
    </row>
    <row r="54" spans="1:45" ht="30.75" hidden="1" customHeight="1" x14ac:dyDescent="0.2">
      <c r="A54" s="568" t="s">
        <v>613</v>
      </c>
      <c r="B54" s="568"/>
      <c r="C54" s="568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568"/>
      <c r="AB54" s="239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</row>
    <row r="55" spans="1:45" hidden="1" x14ac:dyDescent="0.2">
      <c r="A55" s="568"/>
      <c r="B55" s="568"/>
      <c r="C55" s="568"/>
      <c r="D55" s="568"/>
      <c r="E55" s="568"/>
      <c r="F55" s="568"/>
      <c r="G55" s="568"/>
      <c r="H55" s="568"/>
      <c r="I55" s="568"/>
      <c r="J55" s="568"/>
      <c r="K55" s="568"/>
      <c r="L55" s="568"/>
      <c r="M55" s="568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</row>
  </sheetData>
  <mergeCells count="26"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54:AA55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46"/>
  <sheetViews>
    <sheetView topLeftCell="K13" zoomScale="110" zoomScaleNormal="110" workbookViewId="0">
      <pane ySplit="9450" topLeftCell="A113" activePane="bottomLeft"/>
      <selection activeCell="AO9" sqref="AO1:AS1048576"/>
      <selection pane="bottomLeft" activeCell="AN41" sqref="AN41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4" width="8.42578125" style="16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2" width="11" hidden="1" customWidth="1"/>
    <col min="33" max="34" width="7.7109375" hidden="1" customWidth="1"/>
    <col min="35" max="35" width="9" hidden="1" customWidth="1"/>
    <col min="36" max="37" width="7.7109375" hidden="1" customWidth="1"/>
    <col min="38" max="38" width="7.7109375" customWidth="1"/>
    <col min="39" max="39" width="9.28515625" customWidth="1"/>
    <col min="40" max="40" width="10" style="113" customWidth="1"/>
    <col min="41" max="45" width="11.42578125" style="59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7"/>
      <c r="AG1" s="137"/>
      <c r="AH1" s="137"/>
      <c r="AI1" s="137"/>
      <c r="AJ1" s="137"/>
      <c r="AK1" s="137"/>
      <c r="AL1" s="139" t="s">
        <v>454</v>
      </c>
      <c r="AM1" s="137"/>
      <c r="AN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7"/>
      <c r="AG2" s="137"/>
      <c r="AH2" s="137"/>
      <c r="AI2" s="137"/>
      <c r="AJ2" s="137"/>
      <c r="AK2" s="137"/>
      <c r="AL2" s="137"/>
      <c r="AM2" s="137"/>
      <c r="AN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7"/>
      <c r="AG3" s="137"/>
      <c r="AH3" s="137"/>
      <c r="AI3" s="137"/>
      <c r="AJ3" s="137"/>
      <c r="AK3" s="137"/>
      <c r="AL3" s="137"/>
      <c r="AM3" s="137"/>
      <c r="AN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7"/>
      <c r="AG4" s="137"/>
      <c r="AH4" s="137"/>
      <c r="AI4" s="137"/>
      <c r="AJ4" s="137"/>
      <c r="AK4" s="137"/>
      <c r="AL4" s="137"/>
      <c r="AM4" s="137"/>
      <c r="AN4" s="141"/>
    </row>
    <row r="5" spans="1:45" x14ac:dyDescent="0.2">
      <c r="A5" s="137"/>
      <c r="B5" s="144" t="s">
        <v>755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7"/>
      <c r="AG5" s="137"/>
      <c r="AH5" s="137"/>
      <c r="AI5" s="137"/>
      <c r="AJ5" s="137"/>
      <c r="AK5" s="137"/>
      <c r="AL5" s="137"/>
      <c r="AM5" s="137"/>
      <c r="AN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7"/>
      <c r="AG6" s="137"/>
      <c r="AH6" s="137"/>
      <c r="AI6" s="137"/>
      <c r="AJ6" s="137"/>
      <c r="AK6" s="137"/>
      <c r="AL6" s="137"/>
      <c r="AM6" s="137"/>
      <c r="AN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7"/>
      <c r="AG7" s="137"/>
      <c r="AH7" s="137"/>
      <c r="AI7" s="137"/>
      <c r="AJ7" s="137"/>
      <c r="AK7" s="137"/>
      <c r="AL7" s="137"/>
      <c r="AM7" s="137"/>
      <c r="AN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N8" s="112"/>
      <c r="AO8" s="59"/>
      <c r="AP8" s="59"/>
      <c r="AQ8" s="59"/>
      <c r="AR8" s="59"/>
      <c r="AS8" s="59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N9" s="112"/>
      <c r="AO9" s="59"/>
      <c r="AP9" s="59"/>
      <c r="AQ9" s="59"/>
      <c r="AR9" s="59"/>
      <c r="AS9" s="59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43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</row>
    <row r="11" spans="1:45" ht="54" customHeight="1" x14ac:dyDescent="0.25">
      <c r="A11" s="552" t="s">
        <v>60</v>
      </c>
      <c r="B11" s="552" t="s">
        <v>0</v>
      </c>
      <c r="C11" s="344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45" t="s">
        <v>680</v>
      </c>
      <c r="O11" s="556" t="s">
        <v>643</v>
      </c>
      <c r="P11" s="35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47"/>
      <c r="V11" s="558" t="s">
        <v>746</v>
      </c>
      <c r="W11" s="558" t="s">
        <v>747</v>
      </c>
      <c r="X11" s="346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8</v>
      </c>
      <c r="AG11" s="226" t="s">
        <v>9</v>
      </c>
      <c r="AH11" s="226" t="s">
        <v>10</v>
      </c>
      <c r="AI11" s="226" t="s">
        <v>11</v>
      </c>
      <c r="AJ11" s="226" t="s">
        <v>12</v>
      </c>
      <c r="AK11" s="226" t="s">
        <v>13</v>
      </c>
      <c r="AL11" s="226" t="s">
        <v>14</v>
      </c>
      <c r="AM11" s="264" t="s">
        <v>682</v>
      </c>
      <c r="AN11" s="514" t="s">
        <v>66</v>
      </c>
    </row>
    <row r="12" spans="1:45" ht="32.25" customHeight="1" x14ac:dyDescent="0.25">
      <c r="A12" s="553"/>
      <c r="B12" s="553"/>
      <c r="C12" s="229" t="s">
        <v>505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48"/>
      <c r="V12" s="569"/>
      <c r="W12" s="569"/>
      <c r="X12" s="349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515" t="s">
        <v>67</v>
      </c>
    </row>
    <row r="13" spans="1:45" s="22" customFormat="1" x14ac:dyDescent="0.2">
      <c r="A13" s="41" t="s">
        <v>68</v>
      </c>
      <c r="B13" s="41" t="s">
        <v>94</v>
      </c>
      <c r="C13" s="87"/>
      <c r="D13" s="24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516"/>
      <c r="AO13" s="59"/>
      <c r="AP13" s="59"/>
      <c r="AQ13" s="59"/>
      <c r="AR13" s="59"/>
      <c r="AS13" s="59"/>
    </row>
    <row r="14" spans="1:45" s="22" customFormat="1" x14ac:dyDescent="0.2">
      <c r="A14" s="41" t="s">
        <v>86</v>
      </c>
      <c r="B14" s="13"/>
      <c r="C14" s="87"/>
      <c r="D14" s="24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516"/>
      <c r="AO14" s="59"/>
      <c r="AP14" s="59"/>
      <c r="AQ14" s="59"/>
      <c r="AR14" s="59"/>
      <c r="AS14" s="59"/>
    </row>
    <row r="15" spans="1:45" s="22" customFormat="1" x14ac:dyDescent="0.2">
      <c r="A15" s="29" t="s">
        <v>144</v>
      </c>
      <c r="B15" s="13" t="s">
        <v>53</v>
      </c>
      <c r="C15" s="87" t="s">
        <v>505</v>
      </c>
      <c r="D15" s="24">
        <v>120</v>
      </c>
      <c r="E15" s="48">
        <v>0.1</v>
      </c>
      <c r="F15" s="88">
        <v>42185</v>
      </c>
      <c r="G15" s="24">
        <v>120</v>
      </c>
      <c r="H15" s="201">
        <f>100/G15</f>
        <v>0.83333333333333337</v>
      </c>
      <c r="I15" s="233">
        <f t="shared" ref="I15:I17" si="0">H15*J15</f>
        <v>64.166666666666671</v>
      </c>
      <c r="J15" s="90">
        <f>(YEAR(F15)-YEAR(S15))*12+MONTH(F15)-MONTH(S15)</f>
        <v>77</v>
      </c>
      <c r="K15" s="233">
        <f>L15*H15</f>
        <v>35.833333333333336</v>
      </c>
      <c r="L15" s="90">
        <f>G15-J15</f>
        <v>43</v>
      </c>
      <c r="M15" s="233">
        <f>N15*H15</f>
        <v>5.8333333333333339</v>
      </c>
      <c r="N15" s="90">
        <v>7</v>
      </c>
      <c r="O15" s="233">
        <f t="shared" ref="O15:O17" si="1">K15-M15</f>
        <v>30</v>
      </c>
      <c r="P15" s="90">
        <f t="shared" ref="P15:P17" si="2">L15-N15</f>
        <v>36</v>
      </c>
      <c r="Q15" s="90">
        <f t="shared" ref="Q15:Q17" si="3">M15-O15</f>
        <v>-24.166666666666664</v>
      </c>
      <c r="R15" s="11" t="s">
        <v>506</v>
      </c>
      <c r="S15" s="52">
        <v>39814</v>
      </c>
      <c r="T15" s="9">
        <v>1699</v>
      </c>
      <c r="U15" s="116">
        <v>225.03</v>
      </c>
      <c r="V15" s="222">
        <v>169.91</v>
      </c>
      <c r="W15" s="222">
        <v>679.59</v>
      </c>
      <c r="X15" s="89">
        <v>14.16</v>
      </c>
      <c r="Y15" s="152">
        <f>X15*5</f>
        <v>70.8</v>
      </c>
      <c r="Z15" s="341">
        <f>W15-Y15</f>
        <v>608.79000000000008</v>
      </c>
      <c r="AA15" s="100">
        <v>115.958</v>
      </c>
      <c r="AB15" s="125">
        <v>134.071</v>
      </c>
      <c r="AC15" s="100">
        <f>AA15/AB15</f>
        <v>0.8648999410759971</v>
      </c>
      <c r="AD15" s="98">
        <f>Z15*M15/100/K15*100/7</f>
        <v>14.15790697674419</v>
      </c>
      <c r="AE15" s="98">
        <f>AD15*AC15</f>
        <v>12.245172909945499</v>
      </c>
      <c r="AF15" s="98">
        <f>AE15</f>
        <v>12.245172909945499</v>
      </c>
      <c r="AG15" s="98">
        <v>12.245172909945499</v>
      </c>
      <c r="AH15" s="98">
        <v>12.245172909945499</v>
      </c>
      <c r="AI15" s="98">
        <v>12.245172909945499</v>
      </c>
      <c r="AJ15" s="98">
        <v>12.245172909945499</v>
      </c>
      <c r="AK15" s="98">
        <v>12.245172909945499</v>
      </c>
      <c r="AL15" s="98">
        <v>12.245172909945499</v>
      </c>
      <c r="AM15" s="98">
        <f>SUM(AF15:AL15)</f>
        <v>85.71621036961848</v>
      </c>
      <c r="AN15" s="517">
        <f>Z15-AM15</f>
        <v>523.07378963038161</v>
      </c>
      <c r="AO15" s="59"/>
      <c r="AP15" s="59"/>
      <c r="AQ15" s="59"/>
      <c r="AR15" s="59"/>
      <c r="AS15" s="59"/>
    </row>
    <row r="16" spans="1:45" s="22" customFormat="1" x14ac:dyDescent="0.2">
      <c r="A16" s="29" t="s">
        <v>144</v>
      </c>
      <c r="B16" s="13" t="s">
        <v>48</v>
      </c>
      <c r="C16" s="87" t="s">
        <v>505</v>
      </c>
      <c r="D16" s="24">
        <v>120</v>
      </c>
      <c r="E16" s="48">
        <v>0.1</v>
      </c>
      <c r="F16" s="88">
        <v>42185</v>
      </c>
      <c r="G16" s="24">
        <v>120</v>
      </c>
      <c r="H16" s="201">
        <f>100/G16</f>
        <v>0.83333333333333337</v>
      </c>
      <c r="I16" s="233">
        <f t="shared" si="0"/>
        <v>64.166666666666671</v>
      </c>
      <c r="J16" s="90">
        <f>(YEAR(F16)-YEAR(S16))*12+MONTH(F16)-MONTH(S16)</f>
        <v>77</v>
      </c>
      <c r="K16" s="233">
        <f>L16*H16</f>
        <v>35.833333333333336</v>
      </c>
      <c r="L16" s="90">
        <f>G16-J16</f>
        <v>43</v>
      </c>
      <c r="M16" s="233">
        <f>N16*H16</f>
        <v>5.8333333333333339</v>
      </c>
      <c r="N16" s="90">
        <v>7</v>
      </c>
      <c r="O16" s="233">
        <f t="shared" si="1"/>
        <v>30</v>
      </c>
      <c r="P16" s="90">
        <f t="shared" si="2"/>
        <v>36</v>
      </c>
      <c r="Q16" s="90">
        <f t="shared" si="3"/>
        <v>-24.166666666666664</v>
      </c>
      <c r="R16" s="11" t="s">
        <v>506</v>
      </c>
      <c r="S16" s="52">
        <v>39814</v>
      </c>
      <c r="T16" s="9">
        <v>400</v>
      </c>
      <c r="U16" s="116">
        <v>225.03</v>
      </c>
      <c r="V16" s="222">
        <v>39.973333333333322</v>
      </c>
      <c r="W16" s="222">
        <v>160.02666666666667</v>
      </c>
      <c r="X16" s="89">
        <v>3.33</v>
      </c>
      <c r="Y16" s="152">
        <f>X16*5</f>
        <v>16.649999999999999</v>
      </c>
      <c r="Z16" s="341">
        <f>W16-Y16</f>
        <v>143.37666666666667</v>
      </c>
      <c r="AA16" s="100">
        <v>115.958</v>
      </c>
      <c r="AB16" s="125">
        <v>134.071</v>
      </c>
      <c r="AC16" s="100">
        <f>AA16/AB16</f>
        <v>0.8648999410759971</v>
      </c>
      <c r="AD16" s="98">
        <f>Z16*M16/100/K16*100/7</f>
        <v>3.3343410852713182</v>
      </c>
      <c r="AE16" s="98">
        <f>AD16*AC16</f>
        <v>2.8838714081784396</v>
      </c>
      <c r="AF16" s="98">
        <f>AE16</f>
        <v>2.8838714081784396</v>
      </c>
      <c r="AG16" s="98">
        <v>2.8838714081784396</v>
      </c>
      <c r="AH16" s="98">
        <v>2.8838714081784396</v>
      </c>
      <c r="AI16" s="98">
        <v>2.8838714081784396</v>
      </c>
      <c r="AJ16" s="98">
        <v>2.8838714081784396</v>
      </c>
      <c r="AK16" s="98">
        <v>2.8838714081784396</v>
      </c>
      <c r="AL16" s="98">
        <v>2.8838714081784396</v>
      </c>
      <c r="AM16" s="98">
        <f>SUM(AF16:AL16)</f>
        <v>20.187099857249077</v>
      </c>
      <c r="AN16" s="517">
        <f>Z16-AM16</f>
        <v>123.18956680941758</v>
      </c>
      <c r="AO16" s="59"/>
      <c r="AP16" s="59"/>
      <c r="AQ16" s="59"/>
      <c r="AR16" s="59"/>
      <c r="AS16" s="59"/>
    </row>
    <row r="17" spans="1:45" s="22" customFormat="1" x14ac:dyDescent="0.2">
      <c r="A17" s="29" t="s">
        <v>144</v>
      </c>
      <c r="B17" s="13" t="s">
        <v>48</v>
      </c>
      <c r="C17" s="87" t="s">
        <v>505</v>
      </c>
      <c r="D17" s="24">
        <v>120</v>
      </c>
      <c r="E17" s="48">
        <v>0.1</v>
      </c>
      <c r="F17" s="88">
        <v>42185</v>
      </c>
      <c r="G17" s="24">
        <v>120</v>
      </c>
      <c r="H17" s="201">
        <f>100/G17</f>
        <v>0.83333333333333337</v>
      </c>
      <c r="I17" s="233">
        <f t="shared" si="0"/>
        <v>64.166666666666671</v>
      </c>
      <c r="J17" s="90">
        <f>(YEAR(F17)-YEAR(S17))*12+MONTH(F17)-MONTH(S17)</f>
        <v>77</v>
      </c>
      <c r="K17" s="233">
        <f>L17*H17</f>
        <v>35.833333333333336</v>
      </c>
      <c r="L17" s="90">
        <f>G17-J17</f>
        <v>43</v>
      </c>
      <c r="M17" s="233">
        <f>N17*H17</f>
        <v>5.8333333333333339</v>
      </c>
      <c r="N17" s="90">
        <v>7</v>
      </c>
      <c r="O17" s="233">
        <f t="shared" si="1"/>
        <v>30</v>
      </c>
      <c r="P17" s="90">
        <f t="shared" si="2"/>
        <v>36</v>
      </c>
      <c r="Q17" s="90">
        <f t="shared" si="3"/>
        <v>-24.166666666666664</v>
      </c>
      <c r="R17" s="11" t="s">
        <v>506</v>
      </c>
      <c r="S17" s="52">
        <v>39814</v>
      </c>
      <c r="T17" s="9">
        <v>400</v>
      </c>
      <c r="U17" s="116">
        <v>225.03</v>
      </c>
      <c r="V17" s="222">
        <v>39.973333333333322</v>
      </c>
      <c r="W17" s="222">
        <v>160.02666666666667</v>
      </c>
      <c r="X17" s="89">
        <v>3.33</v>
      </c>
      <c r="Y17" s="152">
        <f>X17*5</f>
        <v>16.649999999999999</v>
      </c>
      <c r="Z17" s="341">
        <f>W17-Y17</f>
        <v>143.37666666666667</v>
      </c>
      <c r="AA17" s="100">
        <v>115.958</v>
      </c>
      <c r="AB17" s="125">
        <v>134.071</v>
      </c>
      <c r="AC17" s="100">
        <f>AA17/AB17</f>
        <v>0.8648999410759971</v>
      </c>
      <c r="AD17" s="98">
        <f>Z17*M17/100/K17*100/7</f>
        <v>3.3343410852713182</v>
      </c>
      <c r="AE17" s="98">
        <f>AD17*AC17</f>
        <v>2.8838714081784396</v>
      </c>
      <c r="AF17" s="98">
        <f>AE17</f>
        <v>2.8838714081784396</v>
      </c>
      <c r="AG17" s="98">
        <v>2.8838714081784396</v>
      </c>
      <c r="AH17" s="98">
        <v>2.8838714081784396</v>
      </c>
      <c r="AI17" s="98">
        <v>2.8838714081784396</v>
      </c>
      <c r="AJ17" s="98">
        <v>2.8838714081784396</v>
      </c>
      <c r="AK17" s="98">
        <v>2.8838714081784396</v>
      </c>
      <c r="AL17" s="98">
        <v>2.8838714081784396</v>
      </c>
      <c r="AM17" s="98">
        <f>SUM(AF17:AL17)</f>
        <v>20.187099857249077</v>
      </c>
      <c r="AN17" s="517">
        <f>Z17-AM17</f>
        <v>123.18956680941758</v>
      </c>
      <c r="AO17" s="59"/>
      <c r="AP17" s="59"/>
      <c r="AQ17" s="59"/>
      <c r="AR17" s="59"/>
      <c r="AS17" s="59"/>
    </row>
    <row r="18" spans="1:45" s="22" customFormat="1" x14ac:dyDescent="0.2">
      <c r="A18" s="41" t="s">
        <v>74</v>
      </c>
      <c r="B18" s="41" t="s">
        <v>130</v>
      </c>
      <c r="C18" s="87"/>
      <c r="D18" s="24"/>
      <c r="E18" s="38"/>
      <c r="F18" s="88"/>
      <c r="G18" s="24"/>
      <c r="H18" s="201"/>
      <c r="I18" s="233"/>
      <c r="J18" s="90"/>
      <c r="K18" s="233"/>
      <c r="L18" s="90"/>
      <c r="M18" s="233"/>
      <c r="N18" s="90"/>
      <c r="O18" s="233"/>
      <c r="P18" s="90"/>
      <c r="Q18" s="90"/>
      <c r="R18" s="9"/>
      <c r="S18" s="29"/>
      <c r="T18" s="9"/>
      <c r="U18" s="116"/>
      <c r="V18" s="222"/>
      <c r="W18" s="222"/>
      <c r="X18" s="89"/>
      <c r="Y18" s="152"/>
      <c r="Z18" s="341"/>
      <c r="AA18" s="100"/>
      <c r="AB18" s="100"/>
      <c r="AC18" s="100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517"/>
      <c r="AO18" s="59"/>
      <c r="AP18" s="59"/>
      <c r="AQ18" s="59"/>
      <c r="AR18" s="59"/>
      <c r="AS18" s="59"/>
    </row>
    <row r="19" spans="1:45" s="22" customFormat="1" x14ac:dyDescent="0.2">
      <c r="A19" s="41" t="s">
        <v>129</v>
      </c>
      <c r="B19" s="13"/>
      <c r="C19" s="87"/>
      <c r="D19" s="24"/>
      <c r="E19" s="38"/>
      <c r="F19" s="88"/>
      <c r="G19" s="24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9"/>
      <c r="S19" s="29"/>
      <c r="T19" s="9"/>
      <c r="U19" s="115"/>
      <c r="V19" s="222"/>
      <c r="W19" s="222"/>
      <c r="X19" s="89"/>
      <c r="Y19" s="152"/>
      <c r="Z19" s="341"/>
      <c r="AA19" s="100"/>
      <c r="AB19" s="100"/>
      <c r="AC19" s="100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517"/>
      <c r="AO19" s="59"/>
      <c r="AP19" s="59"/>
      <c r="AQ19" s="59"/>
      <c r="AR19" s="59"/>
      <c r="AS19" s="59"/>
    </row>
    <row r="20" spans="1:45" s="22" customFormat="1" x14ac:dyDescent="0.2">
      <c r="A20" s="29" t="s">
        <v>145</v>
      </c>
      <c r="B20" s="13" t="s">
        <v>47</v>
      </c>
      <c r="C20" s="87" t="s">
        <v>505</v>
      </c>
      <c r="D20" s="24">
        <v>120</v>
      </c>
      <c r="E20" s="48">
        <v>0.1</v>
      </c>
      <c r="F20" s="88">
        <v>42185</v>
      </c>
      <c r="G20" s="24">
        <v>120</v>
      </c>
      <c r="H20" s="201">
        <f>100/G20</f>
        <v>0.83333333333333337</v>
      </c>
      <c r="I20" s="233">
        <f t="shared" ref="I20:I21" si="4">H20*J20</f>
        <v>44.166666666666671</v>
      </c>
      <c r="J20" s="90">
        <f>(YEAR(F20)-YEAR(S20))*12+MONTH(F20)-MONTH(S20)</f>
        <v>53</v>
      </c>
      <c r="K20" s="233">
        <f>L20*H20</f>
        <v>55.833333333333336</v>
      </c>
      <c r="L20" s="90">
        <f>G20-J20</f>
        <v>67</v>
      </c>
      <c r="M20" s="233">
        <f>N20*H20</f>
        <v>5.8333333333333339</v>
      </c>
      <c r="N20" s="90">
        <v>7</v>
      </c>
      <c r="O20" s="233">
        <f t="shared" ref="O20:Q21" si="5">K20-M20</f>
        <v>50</v>
      </c>
      <c r="P20" s="90">
        <f t="shared" si="5"/>
        <v>60</v>
      </c>
      <c r="Q20" s="90">
        <f t="shared" si="5"/>
        <v>-44.166666666666664</v>
      </c>
      <c r="R20" s="11" t="s">
        <v>506</v>
      </c>
      <c r="S20" s="29">
        <v>40544</v>
      </c>
      <c r="T20" s="9">
        <v>219.9</v>
      </c>
      <c r="U20" s="116">
        <v>225.03</v>
      </c>
      <c r="V20" s="222">
        <v>21.967499999999994</v>
      </c>
      <c r="W20" s="222">
        <v>131.96250000000001</v>
      </c>
      <c r="X20" s="89">
        <v>1.83</v>
      </c>
      <c r="Y20" s="152">
        <f>X20*5</f>
        <v>9.15</v>
      </c>
      <c r="Z20" s="341">
        <f>W20-Y20</f>
        <v>122.8125</v>
      </c>
      <c r="AA20" s="100">
        <v>115.958</v>
      </c>
      <c r="AB20" s="125">
        <v>100.22799999999999</v>
      </c>
      <c r="AC20" s="100">
        <f>AA20/AB20</f>
        <v>1.1569421718481863</v>
      </c>
      <c r="AD20" s="98">
        <f>Z20*M20/100/K20*100/7</f>
        <v>1.8330223880597014</v>
      </c>
      <c r="AE20" s="98">
        <f>AD20*AC20</f>
        <v>2.12070090268814</v>
      </c>
      <c r="AF20" s="98">
        <f>AE20</f>
        <v>2.12070090268814</v>
      </c>
      <c r="AG20" s="98">
        <v>2.12070090268814</v>
      </c>
      <c r="AH20" s="98">
        <v>2.12070090268814</v>
      </c>
      <c r="AI20" s="98">
        <v>2.12070090268814</v>
      </c>
      <c r="AJ20" s="98">
        <v>2.12070090268814</v>
      </c>
      <c r="AK20" s="98">
        <v>2.12070090268814</v>
      </c>
      <c r="AL20" s="98">
        <v>2.12070090268814</v>
      </c>
      <c r="AM20" s="98">
        <f>SUM(AF20:AL20)</f>
        <v>14.844906318816982</v>
      </c>
      <c r="AN20" s="517">
        <f>Z20-AM20</f>
        <v>107.96759368118302</v>
      </c>
      <c r="AO20" s="59"/>
      <c r="AP20" s="59"/>
      <c r="AQ20" s="59"/>
      <c r="AR20" s="59"/>
      <c r="AS20" s="59"/>
    </row>
    <row r="21" spans="1:45" s="22" customFormat="1" x14ac:dyDescent="0.2">
      <c r="A21" s="29" t="s">
        <v>145</v>
      </c>
      <c r="B21" s="13" t="s">
        <v>46</v>
      </c>
      <c r="C21" s="87" t="s">
        <v>505</v>
      </c>
      <c r="D21" s="24">
        <v>120</v>
      </c>
      <c r="E21" s="48">
        <v>0.1</v>
      </c>
      <c r="F21" s="88">
        <v>42185</v>
      </c>
      <c r="G21" s="24">
        <v>120</v>
      </c>
      <c r="H21" s="201">
        <f>100/G21</f>
        <v>0.83333333333333337</v>
      </c>
      <c r="I21" s="233">
        <f t="shared" si="4"/>
        <v>64.166666666666671</v>
      </c>
      <c r="J21" s="90">
        <f>(YEAR(F21)-YEAR(S21))*12+MONTH(F21)-MONTH(S21)</f>
        <v>77</v>
      </c>
      <c r="K21" s="233">
        <f>L21*H21</f>
        <v>35.833333333333336</v>
      </c>
      <c r="L21" s="90">
        <f>G21-J21</f>
        <v>43</v>
      </c>
      <c r="M21" s="233">
        <f>N21*H21</f>
        <v>5.8333333333333339</v>
      </c>
      <c r="N21" s="90">
        <v>7</v>
      </c>
      <c r="O21" s="233">
        <f t="shared" si="5"/>
        <v>30</v>
      </c>
      <c r="P21" s="90">
        <f t="shared" si="5"/>
        <v>36</v>
      </c>
      <c r="Q21" s="90">
        <f t="shared" si="5"/>
        <v>-24.166666666666664</v>
      </c>
      <c r="R21" s="11" t="s">
        <v>506</v>
      </c>
      <c r="S21" s="29">
        <v>39814</v>
      </c>
      <c r="T21" s="9">
        <v>369.88</v>
      </c>
      <c r="U21" s="116">
        <v>225.03</v>
      </c>
      <c r="V21" s="222">
        <v>36.966999999999992</v>
      </c>
      <c r="W21" s="222">
        <v>147.97300000000001</v>
      </c>
      <c r="X21" s="89">
        <v>3.08</v>
      </c>
      <c r="Y21" s="152">
        <f>X21*5</f>
        <v>15.4</v>
      </c>
      <c r="Z21" s="341">
        <f>W21-Y21</f>
        <v>132.57300000000001</v>
      </c>
      <c r="AA21" s="100">
        <v>115.958</v>
      </c>
      <c r="AB21" s="125">
        <v>134.071</v>
      </c>
      <c r="AC21" s="100">
        <f>AA21/AB21</f>
        <v>0.8648999410759971</v>
      </c>
      <c r="AD21" s="98">
        <f>Z21*M21/100/K21*100/7</f>
        <v>3.0830930232558136</v>
      </c>
      <c r="AE21" s="98">
        <f>AD21*AC21</f>
        <v>2.6665669741457712</v>
      </c>
      <c r="AF21" s="98">
        <f>AE21</f>
        <v>2.6665669741457712</v>
      </c>
      <c r="AG21" s="98">
        <v>2.6665669741457712</v>
      </c>
      <c r="AH21" s="98">
        <v>2.6665669741457712</v>
      </c>
      <c r="AI21" s="98">
        <v>2.6665669741457712</v>
      </c>
      <c r="AJ21" s="98">
        <v>2.6665669741457712</v>
      </c>
      <c r="AK21" s="98">
        <v>2.6665669741457712</v>
      </c>
      <c r="AL21" s="98">
        <v>2.6665669741457712</v>
      </c>
      <c r="AM21" s="98">
        <f>SUM(AF21:AL21)</f>
        <v>18.665968819020399</v>
      </c>
      <c r="AN21" s="517">
        <f>Z21-AM21</f>
        <v>113.9070311809796</v>
      </c>
      <c r="AO21" s="59"/>
      <c r="AP21" s="59"/>
      <c r="AQ21" s="59"/>
      <c r="AR21" s="59"/>
      <c r="AS21" s="59"/>
    </row>
    <row r="22" spans="1:45" s="22" customFormat="1" x14ac:dyDescent="0.2">
      <c r="A22" s="41" t="s">
        <v>68</v>
      </c>
      <c r="B22" s="41" t="s">
        <v>92</v>
      </c>
      <c r="C22" s="87"/>
      <c r="D22" s="24"/>
      <c r="E22" s="48"/>
      <c r="F22" s="88"/>
      <c r="G22" s="24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9"/>
      <c r="S22" s="52"/>
      <c r="T22" s="9"/>
      <c r="U22" s="116"/>
      <c r="V22" s="222"/>
      <c r="W22" s="222"/>
      <c r="X22" s="89"/>
      <c r="Y22" s="152"/>
      <c r="Z22" s="341"/>
      <c r="AA22" s="100"/>
      <c r="AB22" s="125"/>
      <c r="AC22" s="100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517"/>
      <c r="AO22" s="59"/>
      <c r="AP22" s="59"/>
      <c r="AQ22" s="59"/>
      <c r="AR22" s="59"/>
      <c r="AS22" s="59"/>
    </row>
    <row r="23" spans="1:45" s="22" customFormat="1" x14ac:dyDescent="0.2">
      <c r="A23" s="41" t="s">
        <v>87</v>
      </c>
      <c r="B23" s="13"/>
      <c r="C23" s="87"/>
      <c r="D23" s="24"/>
      <c r="E23" s="48"/>
      <c r="F23" s="88"/>
      <c r="G23" s="24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9"/>
      <c r="S23" s="52"/>
      <c r="T23" s="9"/>
      <c r="U23" s="116"/>
      <c r="V23" s="222"/>
      <c r="W23" s="222"/>
      <c r="X23" s="89"/>
      <c r="Y23" s="152"/>
      <c r="Z23" s="341"/>
      <c r="AA23" s="100"/>
      <c r="AB23" s="125"/>
      <c r="AC23" s="100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517"/>
      <c r="AO23" s="59"/>
      <c r="AP23" s="59"/>
      <c r="AQ23" s="59"/>
      <c r="AR23" s="59"/>
      <c r="AS23" s="59"/>
    </row>
    <row r="24" spans="1:45" s="449" customFormat="1" x14ac:dyDescent="0.2">
      <c r="A24" s="459" t="s">
        <v>146</v>
      </c>
      <c r="B24" s="434" t="s">
        <v>865</v>
      </c>
      <c r="C24" s="450" t="s">
        <v>505</v>
      </c>
      <c r="D24" s="435">
        <v>10</v>
      </c>
      <c r="E24" s="451">
        <v>0.1</v>
      </c>
      <c r="F24" s="437">
        <v>42344</v>
      </c>
      <c r="G24" s="438">
        <v>120</v>
      </c>
      <c r="H24" s="439">
        <f>100/G24</f>
        <v>0.83333333333333337</v>
      </c>
      <c r="I24" s="440">
        <f>H24*J24</f>
        <v>0</v>
      </c>
      <c r="J24" s="438">
        <v>0</v>
      </c>
      <c r="K24" s="440">
        <f>L24*H24</f>
        <v>100</v>
      </c>
      <c r="L24" s="438">
        <f>G24-J24</f>
        <v>120</v>
      </c>
      <c r="M24" s="440">
        <f>N24*H24</f>
        <v>0.83333333333333337</v>
      </c>
      <c r="N24" s="438">
        <v>1</v>
      </c>
      <c r="O24" s="440">
        <f>P24*H24</f>
        <v>99.166666666666671</v>
      </c>
      <c r="P24" s="438">
        <f t="shared" ref="P24" si="6">L24-N24</f>
        <v>119</v>
      </c>
      <c r="Q24" s="438">
        <f>M24-O24</f>
        <v>-98.333333333333343</v>
      </c>
      <c r="R24" s="438">
        <v>3336</v>
      </c>
      <c r="S24" s="437">
        <v>42344</v>
      </c>
      <c r="T24" s="443">
        <v>734</v>
      </c>
      <c r="U24" s="445">
        <v>0</v>
      </c>
      <c r="V24" s="447">
        <v>0</v>
      </c>
      <c r="W24" s="447">
        <v>0</v>
      </c>
      <c r="X24" s="445">
        <v>0</v>
      </c>
      <c r="Y24" s="447">
        <v>0</v>
      </c>
      <c r="Z24" s="445">
        <v>0</v>
      </c>
      <c r="AA24" s="399">
        <v>115.958</v>
      </c>
      <c r="AB24" s="457">
        <v>118.532</v>
      </c>
      <c r="AC24" s="447">
        <f>AA24/AB24</f>
        <v>0.97828434515573859</v>
      </c>
      <c r="AD24" s="447">
        <f>H24*T24/100</f>
        <v>6.1166666666666671</v>
      </c>
      <c r="AE24" s="447">
        <f>AD24*AC24</f>
        <v>5.9838392445359352</v>
      </c>
      <c r="AF24" s="447"/>
      <c r="AG24" s="447"/>
      <c r="AH24" s="447"/>
      <c r="AI24" s="447"/>
      <c r="AJ24" s="447"/>
      <c r="AK24" s="448"/>
      <c r="AL24" s="448">
        <v>0</v>
      </c>
      <c r="AM24" s="448">
        <f>AL24</f>
        <v>0</v>
      </c>
      <c r="AN24" s="518">
        <f>T24</f>
        <v>734</v>
      </c>
      <c r="AO24" s="520"/>
      <c r="AP24" s="520"/>
      <c r="AQ24" s="521"/>
      <c r="AR24" s="521"/>
      <c r="AS24" s="520"/>
    </row>
    <row r="25" spans="1:45" s="22" customFormat="1" x14ac:dyDescent="0.2">
      <c r="A25" s="29" t="s">
        <v>146</v>
      </c>
      <c r="B25" s="13" t="s">
        <v>52</v>
      </c>
      <c r="C25" s="87" t="s">
        <v>505</v>
      </c>
      <c r="D25" s="24">
        <v>120</v>
      </c>
      <c r="E25" s="48">
        <v>0.1</v>
      </c>
      <c r="F25" s="88">
        <v>42185</v>
      </c>
      <c r="G25" s="24">
        <v>120</v>
      </c>
      <c r="H25" s="201">
        <f>100/G25</f>
        <v>0.83333333333333337</v>
      </c>
      <c r="I25" s="233">
        <f t="shared" ref="I25" si="7">H25*J25</f>
        <v>104.16666666666667</v>
      </c>
      <c r="J25" s="90">
        <f>(YEAR(F25)-YEAR(S25))*12+MONTH(F25)-MONTH(S25)</f>
        <v>125</v>
      </c>
      <c r="K25" s="233">
        <f>L25*H25</f>
        <v>0</v>
      </c>
      <c r="L25" s="90">
        <v>0</v>
      </c>
      <c r="M25" s="233">
        <f>N25*H25</f>
        <v>0</v>
      </c>
      <c r="N25" s="90">
        <v>0</v>
      </c>
      <c r="O25" s="233">
        <f t="shared" ref="O25:Q25" si="8">K25-M25</f>
        <v>0</v>
      </c>
      <c r="P25" s="90">
        <f t="shared" si="8"/>
        <v>0</v>
      </c>
      <c r="Q25" s="90">
        <f t="shared" si="8"/>
        <v>0</v>
      </c>
      <c r="R25" s="11" t="s">
        <v>506</v>
      </c>
      <c r="S25" s="52">
        <v>38353</v>
      </c>
      <c r="T25" s="9">
        <v>399</v>
      </c>
      <c r="U25" s="116">
        <v>225.03</v>
      </c>
      <c r="V25" s="222">
        <v>39.944999999999993</v>
      </c>
      <c r="W25" s="222">
        <v>1</v>
      </c>
      <c r="X25" s="89">
        <v>0</v>
      </c>
      <c r="Y25" s="152">
        <f>X25*5</f>
        <v>0</v>
      </c>
      <c r="Z25" s="341">
        <f>W25-Y25</f>
        <v>1</v>
      </c>
      <c r="AA25" s="100">
        <v>115.958</v>
      </c>
      <c r="AB25" s="125">
        <v>112.554</v>
      </c>
      <c r="AC25" s="100">
        <f>AA25/AB25</f>
        <v>1.0302432610124916</v>
      </c>
      <c r="AD25" s="98">
        <v>0</v>
      </c>
      <c r="AE25" s="98">
        <f>AD25*AC25</f>
        <v>0</v>
      </c>
      <c r="AF25" s="98">
        <f>AE25</f>
        <v>0</v>
      </c>
      <c r="AG25" s="98">
        <v>0</v>
      </c>
      <c r="AH25" s="98">
        <v>0</v>
      </c>
      <c r="AI25" s="98">
        <v>0</v>
      </c>
      <c r="AJ25" s="98">
        <v>0</v>
      </c>
      <c r="AK25" s="98">
        <v>0</v>
      </c>
      <c r="AL25" s="98">
        <v>0</v>
      </c>
      <c r="AM25" s="98">
        <f>SUM(AF25:AL25)</f>
        <v>0</v>
      </c>
      <c r="AN25" s="517">
        <f>Z25-AM25</f>
        <v>1</v>
      </c>
      <c r="AO25" s="59"/>
      <c r="AP25" s="59"/>
      <c r="AQ25" s="59"/>
      <c r="AR25" s="59"/>
      <c r="AS25" s="59"/>
    </row>
    <row r="26" spans="1:45" s="22" customFormat="1" x14ac:dyDescent="0.2">
      <c r="A26" s="41" t="s">
        <v>74</v>
      </c>
      <c r="B26" s="41" t="s">
        <v>91</v>
      </c>
      <c r="C26" s="87"/>
      <c r="D26" s="24"/>
      <c r="E26" s="38"/>
      <c r="F26" s="88"/>
      <c r="G26" s="24"/>
      <c r="H26" s="88"/>
      <c r="I26" s="101"/>
      <c r="J26" s="201"/>
      <c r="K26" s="233"/>
      <c r="L26" s="90"/>
      <c r="M26" s="233"/>
      <c r="N26" s="90"/>
      <c r="O26" s="233"/>
      <c r="P26" s="90"/>
      <c r="Q26" s="233"/>
      <c r="R26" s="9"/>
      <c r="S26" s="29"/>
      <c r="T26" s="9"/>
      <c r="U26" s="171"/>
      <c r="V26" s="11"/>
      <c r="W26" s="116"/>
      <c r="X26" s="222"/>
      <c r="Y26" s="222"/>
      <c r="Z26" s="89"/>
      <c r="AA26" s="152"/>
      <c r="AB26" s="125"/>
      <c r="AC26" s="100"/>
      <c r="AD26" s="129"/>
      <c r="AE26" s="100"/>
      <c r="AF26" s="98"/>
      <c r="AG26" s="98"/>
      <c r="AH26" s="98"/>
      <c r="AI26" s="98"/>
      <c r="AJ26" s="98"/>
      <c r="AK26" s="98"/>
      <c r="AL26" s="98"/>
      <c r="AM26" s="98"/>
      <c r="AN26" s="519"/>
      <c r="AO26" s="59"/>
      <c r="AP26" s="59"/>
      <c r="AQ26" s="59"/>
      <c r="AR26" s="59"/>
      <c r="AS26" s="59"/>
    </row>
    <row r="27" spans="1:45" s="22" customFormat="1" x14ac:dyDescent="0.2">
      <c r="A27" s="41" t="s">
        <v>85</v>
      </c>
      <c r="B27" s="13"/>
      <c r="C27" s="87"/>
      <c r="D27" s="199"/>
      <c r="E27" s="38"/>
      <c r="F27" s="88"/>
      <c r="G27" s="199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9"/>
      <c r="S27" s="29"/>
      <c r="T27" s="9"/>
      <c r="U27" s="116"/>
      <c r="V27" s="222"/>
      <c r="W27" s="222"/>
      <c r="X27" s="89"/>
      <c r="Y27" s="152"/>
      <c r="Z27" s="341"/>
      <c r="AA27" s="100"/>
      <c r="AB27" s="125"/>
      <c r="AC27" s="100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517"/>
      <c r="AO27" s="59"/>
      <c r="AP27" s="59"/>
      <c r="AQ27" s="59"/>
      <c r="AR27" s="59"/>
      <c r="AS27" s="59"/>
    </row>
    <row r="28" spans="1:45" s="22" customFormat="1" x14ac:dyDescent="0.2">
      <c r="A28" s="29" t="s">
        <v>147</v>
      </c>
      <c r="B28" s="13" t="s">
        <v>49</v>
      </c>
      <c r="C28" s="87" t="s">
        <v>505</v>
      </c>
      <c r="D28" s="24">
        <v>120</v>
      </c>
      <c r="E28" s="38">
        <v>0.1</v>
      </c>
      <c r="F28" s="88">
        <v>42185</v>
      </c>
      <c r="G28" s="24">
        <v>120</v>
      </c>
      <c r="H28" s="201">
        <f>100/G28</f>
        <v>0.83333333333333337</v>
      </c>
      <c r="I28" s="233">
        <f>H28*J28</f>
        <v>64.166666666666671</v>
      </c>
      <c r="J28" s="90">
        <f>(YEAR(F28)-YEAR(S28))*12+MONTH(F28)-MONTH(S28)</f>
        <v>77</v>
      </c>
      <c r="K28" s="233">
        <f>L28*H28</f>
        <v>35.833333333333336</v>
      </c>
      <c r="L28" s="90">
        <f>G28-J28</f>
        <v>43</v>
      </c>
      <c r="M28" s="233">
        <f>N28*H28</f>
        <v>5.8333333333333339</v>
      </c>
      <c r="N28" s="90">
        <v>7</v>
      </c>
      <c r="O28" s="233">
        <f t="shared" ref="O28" si="9">K28-M28</f>
        <v>30</v>
      </c>
      <c r="P28" s="90">
        <f t="shared" ref="P28" si="10">L28-N28</f>
        <v>36</v>
      </c>
      <c r="Q28" s="90">
        <f t="shared" ref="Q28" si="11">M28-O28</f>
        <v>-24.166666666666664</v>
      </c>
      <c r="R28" s="11" t="s">
        <v>506</v>
      </c>
      <c r="S28" s="29">
        <v>39814</v>
      </c>
      <c r="T28" s="9">
        <v>1159</v>
      </c>
      <c r="U28" s="116">
        <v>225.03</v>
      </c>
      <c r="V28" s="222">
        <v>115.91833333333331</v>
      </c>
      <c r="W28" s="222">
        <v>463.58166666666671</v>
      </c>
      <c r="X28" s="89">
        <v>9.66</v>
      </c>
      <c r="Y28" s="152">
        <f>X28*5</f>
        <v>48.3</v>
      </c>
      <c r="Z28" s="341">
        <f>W28-Y28</f>
        <v>415.28166666666669</v>
      </c>
      <c r="AA28" s="100">
        <v>115.958</v>
      </c>
      <c r="AB28" s="127">
        <v>134.071</v>
      </c>
      <c r="AC28" s="100">
        <f>AA28/AB28</f>
        <v>0.8648999410759971</v>
      </c>
      <c r="AD28" s="98">
        <f>Z28*M28/100/K28*100/7</f>
        <v>9.6577131782945731</v>
      </c>
      <c r="AE28" s="98">
        <f>AD28*AC28</f>
        <v>8.3529555588358573</v>
      </c>
      <c r="AF28" s="98">
        <f>AE28</f>
        <v>8.3529555588358573</v>
      </c>
      <c r="AG28" s="98">
        <v>8.3529555588358573</v>
      </c>
      <c r="AH28" s="98">
        <v>8.3529555588358573</v>
      </c>
      <c r="AI28" s="98">
        <v>8.3529555588358573</v>
      </c>
      <c r="AJ28" s="98">
        <v>8.3529555588358573</v>
      </c>
      <c r="AK28" s="98">
        <v>8.3529555588358573</v>
      </c>
      <c r="AL28" s="98">
        <v>8.3529555588358573</v>
      </c>
      <c r="AM28" s="98">
        <f>SUM(AF28:AL28)</f>
        <v>58.470688911851006</v>
      </c>
      <c r="AN28" s="517">
        <f>Z28-AM28</f>
        <v>356.81097775481567</v>
      </c>
      <c r="AO28" s="59"/>
      <c r="AP28" s="59"/>
      <c r="AQ28" s="59"/>
      <c r="AR28" s="59"/>
      <c r="AS28" s="59"/>
    </row>
    <row r="29" spans="1:45" s="22" customFormat="1" x14ac:dyDescent="0.2">
      <c r="A29" s="41" t="s">
        <v>74</v>
      </c>
      <c r="B29" s="41" t="s">
        <v>89</v>
      </c>
      <c r="C29" s="87"/>
      <c r="D29" s="24"/>
      <c r="E29" s="48"/>
      <c r="F29" s="88"/>
      <c r="G29" s="24"/>
      <c r="H29" s="88"/>
      <c r="I29" s="101"/>
      <c r="J29" s="201"/>
      <c r="K29" s="233"/>
      <c r="L29" s="90"/>
      <c r="M29" s="233"/>
      <c r="N29" s="90"/>
      <c r="O29" s="233"/>
      <c r="P29" s="90"/>
      <c r="Q29" s="233"/>
      <c r="R29" s="9"/>
      <c r="S29" s="52"/>
      <c r="T29" s="9"/>
      <c r="U29" s="182"/>
      <c r="V29" s="11"/>
      <c r="W29" s="116"/>
      <c r="X29" s="222"/>
      <c r="Y29" s="222"/>
      <c r="Z29" s="89"/>
      <c r="AA29" s="152"/>
      <c r="AB29" s="125"/>
      <c r="AC29" s="100"/>
      <c r="AD29" s="129"/>
      <c r="AE29" s="100"/>
      <c r="AF29" s="98"/>
      <c r="AG29" s="98"/>
      <c r="AH29" s="98"/>
      <c r="AI29" s="98"/>
      <c r="AJ29" s="98"/>
      <c r="AK29" s="98"/>
      <c r="AL29" s="98"/>
      <c r="AM29" s="98"/>
      <c r="AN29" s="519"/>
      <c r="AO29" s="59"/>
      <c r="AP29" s="59"/>
      <c r="AQ29" s="59"/>
      <c r="AR29" s="59"/>
      <c r="AS29" s="59"/>
    </row>
    <row r="30" spans="1:45" s="22" customFormat="1" x14ac:dyDescent="0.2">
      <c r="A30" s="41" t="s">
        <v>102</v>
      </c>
      <c r="B30" s="13"/>
      <c r="C30" s="87"/>
      <c r="D30" s="199"/>
      <c r="E30" s="48"/>
      <c r="F30" s="88"/>
      <c r="G30" s="199"/>
      <c r="H30" s="88"/>
      <c r="I30" s="101"/>
      <c r="J30" s="201"/>
      <c r="K30" s="233"/>
      <c r="L30" s="90"/>
      <c r="M30" s="233"/>
      <c r="N30" s="90"/>
      <c r="O30" s="233"/>
      <c r="P30" s="90"/>
      <c r="Q30" s="233"/>
      <c r="R30" s="9"/>
      <c r="S30" s="52"/>
      <c r="T30" s="9"/>
      <c r="U30" s="171"/>
      <c r="V30" s="11"/>
      <c r="W30" s="116"/>
      <c r="X30" s="222"/>
      <c r="Y30" s="222"/>
      <c r="Z30" s="89"/>
      <c r="AA30" s="152"/>
      <c r="AB30" s="100"/>
      <c r="AC30" s="100"/>
      <c r="AD30" s="129"/>
      <c r="AE30" s="100"/>
      <c r="AF30" s="98"/>
      <c r="AG30" s="98"/>
      <c r="AH30" s="98"/>
      <c r="AI30" s="98"/>
      <c r="AJ30" s="98"/>
      <c r="AK30" s="98"/>
      <c r="AL30" s="98"/>
      <c r="AM30" s="98"/>
      <c r="AN30" s="519"/>
      <c r="AO30" s="59"/>
      <c r="AP30" s="59"/>
      <c r="AQ30" s="59"/>
      <c r="AR30" s="59"/>
      <c r="AS30" s="59"/>
    </row>
    <row r="31" spans="1:45" s="22" customFormat="1" x14ac:dyDescent="0.2">
      <c r="A31" s="29" t="s">
        <v>148</v>
      </c>
      <c r="B31" s="13" t="s">
        <v>44</v>
      </c>
      <c r="C31" s="87" t="s">
        <v>505</v>
      </c>
      <c r="D31" s="24">
        <v>120</v>
      </c>
      <c r="E31" s="48">
        <v>0.1</v>
      </c>
      <c r="F31" s="88">
        <v>42185</v>
      </c>
      <c r="G31" s="24">
        <v>120</v>
      </c>
      <c r="H31" s="201">
        <f>100/G31</f>
        <v>0.83333333333333337</v>
      </c>
      <c r="I31" s="233">
        <f t="shared" ref="I31" si="12">H31*J31</f>
        <v>104.16666666666667</v>
      </c>
      <c r="J31" s="90">
        <f>(YEAR(F31)-YEAR(S31))*12+MONTH(F31)-MONTH(S31)</f>
        <v>125</v>
      </c>
      <c r="K31" s="233">
        <f>L31*H31</f>
        <v>-4.166666666666667</v>
      </c>
      <c r="L31" s="90">
        <f>G31-J31</f>
        <v>-5</v>
      </c>
      <c r="M31" s="233">
        <f>N31*H31</f>
        <v>0</v>
      </c>
      <c r="N31" s="90">
        <v>0</v>
      </c>
      <c r="O31" s="233">
        <f t="shared" ref="O31:Q31" si="13">K31-M31</f>
        <v>-4.166666666666667</v>
      </c>
      <c r="P31" s="90">
        <v>0</v>
      </c>
      <c r="Q31" s="90">
        <f t="shared" si="13"/>
        <v>4.166666666666667</v>
      </c>
      <c r="R31" s="11" t="s">
        <v>506</v>
      </c>
      <c r="S31" s="52">
        <v>38353</v>
      </c>
      <c r="T31" s="9">
        <v>2349</v>
      </c>
      <c r="U31" s="116">
        <v>225.03</v>
      </c>
      <c r="V31" s="222">
        <v>234.95499999999993</v>
      </c>
      <c r="W31" s="222">
        <v>-5.4999999999836291E-2</v>
      </c>
      <c r="X31" s="89">
        <v>0</v>
      </c>
      <c r="Y31" s="152">
        <f>X31*5</f>
        <v>0</v>
      </c>
      <c r="Z31" s="341">
        <v>1</v>
      </c>
      <c r="AA31" s="100">
        <v>115.958</v>
      </c>
      <c r="AB31" s="201">
        <v>112.554</v>
      </c>
      <c r="AC31" s="100">
        <f>AA31/AB31</f>
        <v>1.0302432610124916</v>
      </c>
      <c r="AD31" s="98">
        <f>Z31*M31/100/K31*100/7</f>
        <v>0</v>
      </c>
      <c r="AE31" s="98">
        <f>AD31*AC31</f>
        <v>0</v>
      </c>
      <c r="AF31" s="98">
        <f>AE31</f>
        <v>0</v>
      </c>
      <c r="AG31" s="98">
        <v>0</v>
      </c>
      <c r="AH31" s="98">
        <v>0</v>
      </c>
      <c r="AI31" s="98">
        <v>0</v>
      </c>
      <c r="AJ31" s="98">
        <v>0</v>
      </c>
      <c r="AK31" s="98">
        <v>0</v>
      </c>
      <c r="AL31" s="98">
        <v>0</v>
      </c>
      <c r="AM31" s="98">
        <f>SUM(AF31:AL31)</f>
        <v>0</v>
      </c>
      <c r="AN31" s="517">
        <f>Z31-AM31</f>
        <v>1</v>
      </c>
      <c r="AO31" s="59"/>
      <c r="AP31" s="59"/>
      <c r="AQ31" s="59"/>
      <c r="AR31" s="59"/>
      <c r="AS31" s="59"/>
    </row>
    <row r="32" spans="1:45" s="22" customFormat="1" x14ac:dyDescent="0.2">
      <c r="A32" s="29" t="s">
        <v>148</v>
      </c>
      <c r="B32" s="13" t="s">
        <v>45</v>
      </c>
      <c r="C32" s="87" t="s">
        <v>505</v>
      </c>
      <c r="D32" s="24">
        <v>120</v>
      </c>
      <c r="E32" s="48">
        <v>0.1</v>
      </c>
      <c r="F32" s="88">
        <v>42185</v>
      </c>
      <c r="G32" s="24">
        <v>120</v>
      </c>
      <c r="H32" s="201">
        <f>100/G32</f>
        <v>0.83333333333333337</v>
      </c>
      <c r="I32" s="233">
        <f t="shared" ref="I32" si="14">H32*J32</f>
        <v>104.16666666666667</v>
      </c>
      <c r="J32" s="90">
        <f>(YEAR(F32)-YEAR(S32))*12+MONTH(F32)-MONTH(S32)</f>
        <v>125</v>
      </c>
      <c r="K32" s="233">
        <f>L32*H32</f>
        <v>-4.166666666666667</v>
      </c>
      <c r="L32" s="90">
        <f>G32-J32</f>
        <v>-5</v>
      </c>
      <c r="M32" s="233">
        <f>N32*H32</f>
        <v>0</v>
      </c>
      <c r="N32" s="90">
        <v>0</v>
      </c>
      <c r="O32" s="233">
        <f t="shared" ref="O32" si="15">K32-M32</f>
        <v>-4.166666666666667</v>
      </c>
      <c r="P32" s="90">
        <v>0</v>
      </c>
      <c r="Q32" s="90">
        <f t="shared" ref="Q32" si="16">M32-O32</f>
        <v>4.166666666666667</v>
      </c>
      <c r="R32" s="11" t="s">
        <v>506</v>
      </c>
      <c r="S32" s="52">
        <v>38353</v>
      </c>
      <c r="T32" s="9">
        <v>4708</v>
      </c>
      <c r="U32" s="116">
        <v>225.03</v>
      </c>
      <c r="V32" s="222">
        <v>470.76333333333338</v>
      </c>
      <c r="W32" s="222">
        <v>3.6666666666803849E-2</v>
      </c>
      <c r="X32" s="89">
        <v>0</v>
      </c>
      <c r="Y32" s="152">
        <f>X32*5</f>
        <v>0</v>
      </c>
      <c r="Z32" s="341">
        <v>1</v>
      </c>
      <c r="AA32" s="100">
        <v>115.958</v>
      </c>
      <c r="AB32" s="201">
        <v>112.554</v>
      </c>
      <c r="AC32" s="100">
        <f>AA32/AB32</f>
        <v>1.0302432610124916</v>
      </c>
      <c r="AD32" s="98">
        <f>Z32*M32/100/K32*100/7</f>
        <v>0</v>
      </c>
      <c r="AE32" s="98">
        <f>AD32*AC32</f>
        <v>0</v>
      </c>
      <c r="AF32" s="98">
        <f>AE32</f>
        <v>0</v>
      </c>
      <c r="AG32" s="98">
        <v>0</v>
      </c>
      <c r="AH32" s="98">
        <v>0</v>
      </c>
      <c r="AI32" s="98">
        <v>0</v>
      </c>
      <c r="AJ32" s="98">
        <v>0</v>
      </c>
      <c r="AK32" s="98">
        <v>0</v>
      </c>
      <c r="AL32" s="98">
        <v>0</v>
      </c>
      <c r="AM32" s="98">
        <f>SUM(AF32:AL32)</f>
        <v>0</v>
      </c>
      <c r="AN32" s="517">
        <f>Z32-AM32</f>
        <v>1</v>
      </c>
      <c r="AO32" s="59"/>
      <c r="AP32" s="59"/>
      <c r="AQ32" s="59"/>
      <c r="AR32" s="59"/>
      <c r="AS32" s="59"/>
    </row>
    <row r="33" spans="1:45" s="22" customFormat="1" x14ac:dyDescent="0.2">
      <c r="A33" s="41" t="s">
        <v>74</v>
      </c>
      <c r="B33" s="41" t="s">
        <v>90</v>
      </c>
      <c r="C33" s="178"/>
      <c r="D33" s="199"/>
      <c r="E33" s="48"/>
      <c r="F33" s="24"/>
      <c r="G33" s="199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9"/>
      <c r="S33" s="52"/>
      <c r="T33" s="9"/>
      <c r="U33" s="116"/>
      <c r="V33" s="18"/>
      <c r="W33" s="18"/>
      <c r="X33" s="18"/>
      <c r="Y33" s="154"/>
      <c r="Z33" s="340"/>
      <c r="AA33" s="110"/>
      <c r="AB33" s="202"/>
      <c r="AC33" s="110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516"/>
      <c r="AO33" s="59"/>
      <c r="AP33" s="59"/>
      <c r="AQ33" s="59"/>
      <c r="AR33" s="59"/>
      <c r="AS33" s="59"/>
    </row>
    <row r="34" spans="1:45" s="22" customFormat="1" x14ac:dyDescent="0.2">
      <c r="A34" s="41" t="s">
        <v>110</v>
      </c>
      <c r="B34" s="13"/>
      <c r="C34" s="87"/>
      <c r="D34" s="199"/>
      <c r="E34" s="48"/>
      <c r="F34" s="88"/>
      <c r="G34" s="199"/>
      <c r="H34" s="201"/>
      <c r="I34" s="233"/>
      <c r="J34" s="90"/>
      <c r="K34" s="233"/>
      <c r="L34" s="90"/>
      <c r="M34" s="233"/>
      <c r="N34" s="90"/>
      <c r="O34" s="233"/>
      <c r="P34" s="90"/>
      <c r="Q34" s="88"/>
      <c r="R34" s="9"/>
      <c r="S34" s="52"/>
      <c r="T34" s="9"/>
      <c r="U34" s="116"/>
      <c r="V34" s="222"/>
      <c r="W34" s="222"/>
      <c r="X34" s="89"/>
      <c r="Y34" s="152"/>
      <c r="Z34" s="341"/>
      <c r="AA34" s="100"/>
      <c r="AB34" s="201"/>
      <c r="AC34" s="100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517"/>
      <c r="AO34" s="59"/>
      <c r="AP34" s="59"/>
      <c r="AQ34" s="59"/>
      <c r="AR34" s="59"/>
      <c r="AS34" s="59"/>
    </row>
    <row r="35" spans="1:45" s="22" customFormat="1" x14ac:dyDescent="0.2">
      <c r="A35" s="29" t="s">
        <v>149</v>
      </c>
      <c r="B35" s="13" t="s">
        <v>50</v>
      </c>
      <c r="C35" s="87" t="s">
        <v>505</v>
      </c>
      <c r="D35" s="24">
        <v>120</v>
      </c>
      <c r="E35" s="48">
        <v>0.1</v>
      </c>
      <c r="F35" s="88">
        <v>42185</v>
      </c>
      <c r="G35" s="24">
        <v>120</v>
      </c>
      <c r="H35" s="201">
        <f>100/G35</f>
        <v>0.83333333333333337</v>
      </c>
      <c r="I35" s="233">
        <f t="shared" ref="I35" si="17">H35*J35</f>
        <v>84.166666666666671</v>
      </c>
      <c r="J35" s="90">
        <f>(YEAR(F35)-YEAR(S35))*12+MONTH(F35)-MONTH(S35)</f>
        <v>101</v>
      </c>
      <c r="K35" s="233">
        <f>L35*H35</f>
        <v>15.833333333333334</v>
      </c>
      <c r="L35" s="90">
        <f>G35-J35</f>
        <v>19</v>
      </c>
      <c r="M35" s="233">
        <f>N35*H35</f>
        <v>5.8333333333333339</v>
      </c>
      <c r="N35" s="90">
        <v>7</v>
      </c>
      <c r="O35" s="233">
        <f t="shared" ref="O35" si="18">K35-M35</f>
        <v>10</v>
      </c>
      <c r="P35" s="90">
        <f t="shared" ref="P35" si="19">L35-N35</f>
        <v>12</v>
      </c>
      <c r="Q35" s="90">
        <f t="shared" ref="Q35" si="20">M35-O35</f>
        <v>-4.1666666666666661</v>
      </c>
      <c r="R35" s="11" t="s">
        <v>506</v>
      </c>
      <c r="S35" s="52">
        <v>39083</v>
      </c>
      <c r="T35" s="9">
        <v>604.5</v>
      </c>
      <c r="U35" s="116">
        <v>225.03</v>
      </c>
      <c r="V35" s="222">
        <v>60.477499999999992</v>
      </c>
      <c r="W35" s="222">
        <v>120.87249999999997</v>
      </c>
      <c r="X35" s="89">
        <v>5.04</v>
      </c>
      <c r="Y35" s="152">
        <f>X35*5</f>
        <v>25.2</v>
      </c>
      <c r="Z35" s="341">
        <f>W35-Y35</f>
        <v>95.672499999999971</v>
      </c>
      <c r="AA35" s="100">
        <v>115.958</v>
      </c>
      <c r="AB35" s="201">
        <v>121.64</v>
      </c>
      <c r="AC35" s="100">
        <f>AA35/AB35</f>
        <v>0.95328839197632353</v>
      </c>
      <c r="AD35" s="98">
        <f>Z35*M35/100/K35*100/7</f>
        <v>5.0353947368421048</v>
      </c>
      <c r="AE35" s="98">
        <f>AD35*AC35</f>
        <v>4.8001833516502526</v>
      </c>
      <c r="AF35" s="98">
        <f>AE35</f>
        <v>4.8001833516502526</v>
      </c>
      <c r="AG35" s="98">
        <v>4.8001833516502526</v>
      </c>
      <c r="AH35" s="98">
        <v>4.8001833516502526</v>
      </c>
      <c r="AI35" s="98">
        <v>4.8001833516502526</v>
      </c>
      <c r="AJ35" s="98">
        <v>4.8001833516502526</v>
      </c>
      <c r="AK35" s="98">
        <v>4.8001833516502526</v>
      </c>
      <c r="AL35" s="98">
        <v>4.8001833516502526</v>
      </c>
      <c r="AM35" s="98">
        <f>SUM(AF35:AL35)</f>
        <v>33.601283461551773</v>
      </c>
      <c r="AN35" s="517">
        <f>Z35-AM35</f>
        <v>62.071216538448198</v>
      </c>
      <c r="AO35" s="59"/>
      <c r="AP35" s="59"/>
      <c r="AQ35" s="59"/>
      <c r="AR35" s="59"/>
      <c r="AS35" s="59"/>
    </row>
    <row r="36" spans="1:45" s="22" customFormat="1" x14ac:dyDescent="0.2">
      <c r="A36" s="41" t="s">
        <v>131</v>
      </c>
      <c r="B36" s="41" t="s">
        <v>150</v>
      </c>
      <c r="C36" s="87"/>
      <c r="D36" s="24"/>
      <c r="E36" s="48"/>
      <c r="F36" s="88"/>
      <c r="G36" s="24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9"/>
      <c r="S36" s="52"/>
      <c r="T36" s="9"/>
      <c r="U36" s="116"/>
      <c r="V36" s="222"/>
      <c r="W36" s="222"/>
      <c r="X36" s="89"/>
      <c r="Y36" s="152"/>
      <c r="Z36" s="340"/>
      <c r="AA36" s="100"/>
      <c r="AB36" s="201"/>
      <c r="AC36" s="100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517"/>
      <c r="AO36" s="59"/>
      <c r="AP36" s="59"/>
      <c r="AQ36" s="59"/>
      <c r="AR36" s="59"/>
      <c r="AS36" s="59"/>
    </row>
    <row r="37" spans="1:45" s="22" customFormat="1" x14ac:dyDescent="0.2">
      <c r="A37" s="41" t="s">
        <v>368</v>
      </c>
      <c r="B37" s="13"/>
      <c r="C37" s="87"/>
      <c r="D37" s="24"/>
      <c r="E37" s="48"/>
      <c r="F37" s="88"/>
      <c r="G37" s="24"/>
      <c r="H37" s="201"/>
      <c r="I37" s="233"/>
      <c r="J37" s="90"/>
      <c r="K37" s="233"/>
      <c r="L37" s="90"/>
      <c r="M37" s="233"/>
      <c r="N37" s="90"/>
      <c r="O37" s="233"/>
      <c r="P37" s="90"/>
      <c r="Q37" s="90"/>
      <c r="R37" s="9"/>
      <c r="S37" s="52"/>
      <c r="T37" s="9"/>
      <c r="U37" s="160"/>
      <c r="V37" s="222"/>
      <c r="W37" s="222"/>
      <c r="X37" s="89"/>
      <c r="Y37" s="152"/>
      <c r="Z37" s="341"/>
      <c r="AA37" s="100"/>
      <c r="AB37" s="201"/>
      <c r="AC37" s="100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517"/>
      <c r="AO37" s="59"/>
      <c r="AP37" s="59"/>
      <c r="AQ37" s="59"/>
      <c r="AR37" s="59"/>
      <c r="AS37" s="59"/>
    </row>
    <row r="38" spans="1:45" s="22" customFormat="1" x14ac:dyDescent="0.2">
      <c r="A38" s="29" t="s">
        <v>369</v>
      </c>
      <c r="B38" s="13" t="s">
        <v>51</v>
      </c>
      <c r="C38" s="87" t="s">
        <v>505</v>
      </c>
      <c r="D38" s="24">
        <v>120</v>
      </c>
      <c r="E38" s="48">
        <v>0.1</v>
      </c>
      <c r="F38" s="88">
        <v>42185</v>
      </c>
      <c r="G38" s="24">
        <v>120</v>
      </c>
      <c r="H38" s="201">
        <f>100/G38</f>
        <v>0.83333333333333337</v>
      </c>
      <c r="I38" s="233">
        <f t="shared" ref="I38" si="21">H38*J38</f>
        <v>84.166666666666671</v>
      </c>
      <c r="J38" s="90">
        <f>(YEAR(F38)-YEAR(S38))*12+MONTH(F38)-MONTH(S38)</f>
        <v>101</v>
      </c>
      <c r="K38" s="233">
        <f>L38*H38</f>
        <v>15.833333333333334</v>
      </c>
      <c r="L38" s="90">
        <f>G38-J38</f>
        <v>19</v>
      </c>
      <c r="M38" s="233">
        <f>N38*H38</f>
        <v>5.8333333333333339</v>
      </c>
      <c r="N38" s="90">
        <v>7</v>
      </c>
      <c r="O38" s="233">
        <f t="shared" ref="O38" si="22">K38-M38</f>
        <v>10</v>
      </c>
      <c r="P38" s="90">
        <f t="shared" ref="P38" si="23">L38-N38</f>
        <v>12</v>
      </c>
      <c r="Q38" s="90">
        <f t="shared" ref="Q38" si="24">M38-O38</f>
        <v>-4.1666666666666661</v>
      </c>
      <c r="R38" s="11" t="s">
        <v>506</v>
      </c>
      <c r="S38" s="52">
        <v>39083</v>
      </c>
      <c r="T38" s="9">
        <v>441.39</v>
      </c>
      <c r="U38" s="116">
        <v>225.03</v>
      </c>
      <c r="V38" s="222">
        <v>44.158250000000002</v>
      </c>
      <c r="W38" s="222">
        <v>88.258749999999964</v>
      </c>
      <c r="X38" s="89">
        <v>3.68</v>
      </c>
      <c r="Y38" s="152">
        <f>X38*5</f>
        <v>18.400000000000002</v>
      </c>
      <c r="Z38" s="341">
        <f>W38-Y38</f>
        <v>69.858749999999958</v>
      </c>
      <c r="AA38" s="100">
        <v>115.958</v>
      </c>
      <c r="AB38" s="201">
        <v>121.64</v>
      </c>
      <c r="AC38" s="100">
        <f>AA38/AB38</f>
        <v>0.95328839197632353</v>
      </c>
      <c r="AD38" s="98">
        <f>Z38*M38/100/K38*100/7</f>
        <v>3.6767763157894713</v>
      </c>
      <c r="AE38" s="98">
        <f>AD38*AC38</f>
        <v>3.5050281817355762</v>
      </c>
      <c r="AF38" s="98">
        <f>AE38</f>
        <v>3.5050281817355762</v>
      </c>
      <c r="AG38" s="98">
        <v>3.5050281817355762</v>
      </c>
      <c r="AH38" s="98">
        <v>3.5050281817355762</v>
      </c>
      <c r="AI38" s="98">
        <v>3.5050281817355762</v>
      </c>
      <c r="AJ38" s="98">
        <v>3.5050281817355762</v>
      </c>
      <c r="AK38" s="98">
        <v>3.5050281817355762</v>
      </c>
      <c r="AL38" s="98">
        <v>3.5050281817355762</v>
      </c>
      <c r="AM38" s="98">
        <f>SUM(AF38:AL38)</f>
        <v>24.535197272149031</v>
      </c>
      <c r="AN38" s="517">
        <f>Z38-AM38</f>
        <v>45.323552727850924</v>
      </c>
      <c r="AO38" s="59"/>
      <c r="AP38" s="59"/>
      <c r="AQ38" s="59"/>
      <c r="AR38" s="59"/>
      <c r="AS38" s="59"/>
    </row>
    <row r="39" spans="1:45" s="22" customFormat="1" ht="13.5" x14ac:dyDescent="0.25">
      <c r="A39" s="41" t="s">
        <v>151</v>
      </c>
      <c r="B39" s="41" t="s">
        <v>93</v>
      </c>
      <c r="C39" s="87"/>
      <c r="D39" s="24"/>
      <c r="E39" s="46"/>
      <c r="F39" s="88"/>
      <c r="G39" s="24"/>
      <c r="H39" s="201"/>
      <c r="I39" s="233"/>
      <c r="J39" s="90"/>
      <c r="K39" s="233"/>
      <c r="L39" s="90"/>
      <c r="M39" s="233"/>
      <c r="N39" s="90"/>
      <c r="O39" s="233"/>
      <c r="P39" s="90"/>
      <c r="Q39" s="90"/>
      <c r="R39" s="176"/>
      <c r="S39" s="15"/>
      <c r="T39" s="176"/>
      <c r="U39" s="116"/>
      <c r="V39" s="222"/>
      <c r="W39" s="222"/>
      <c r="X39" s="89"/>
      <c r="Y39" s="152"/>
      <c r="Z39" s="341"/>
      <c r="AA39" s="100"/>
      <c r="AB39" s="201"/>
      <c r="AC39" s="100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517"/>
      <c r="AO39" s="59"/>
      <c r="AP39" s="59"/>
      <c r="AQ39" s="59"/>
      <c r="AR39" s="59"/>
      <c r="AS39" s="59"/>
    </row>
    <row r="40" spans="1:45" s="22" customFormat="1" ht="13.5" x14ac:dyDescent="0.25">
      <c r="A40" s="41" t="s">
        <v>153</v>
      </c>
      <c r="B40" s="54"/>
      <c r="C40" s="87"/>
      <c r="D40" s="24"/>
      <c r="E40" s="46"/>
      <c r="F40" s="88"/>
      <c r="G40" s="24"/>
      <c r="H40" s="201"/>
      <c r="I40" s="233"/>
      <c r="J40" s="90"/>
      <c r="K40" s="233"/>
      <c r="L40" s="90"/>
      <c r="M40" s="233"/>
      <c r="N40" s="90"/>
      <c r="O40" s="233"/>
      <c r="P40" s="90"/>
      <c r="Q40" s="90"/>
      <c r="R40" s="176"/>
      <c r="S40" s="15"/>
      <c r="T40" s="176"/>
      <c r="U40" s="160"/>
      <c r="V40" s="222"/>
      <c r="W40" s="222"/>
      <c r="X40" s="89"/>
      <c r="Y40" s="152"/>
      <c r="Z40" s="341"/>
      <c r="AA40" s="100"/>
      <c r="AB40" s="201"/>
      <c r="AC40" s="100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517"/>
      <c r="AO40" s="59"/>
      <c r="AP40" s="59"/>
      <c r="AQ40" s="59"/>
      <c r="AR40" s="59"/>
      <c r="AS40" s="59"/>
    </row>
    <row r="41" spans="1:45" s="22" customFormat="1" x14ac:dyDescent="0.2">
      <c r="A41" s="29" t="s">
        <v>154</v>
      </c>
      <c r="B41" s="13" t="s">
        <v>155</v>
      </c>
      <c r="C41" s="87" t="s">
        <v>505</v>
      </c>
      <c r="D41" s="24">
        <v>36</v>
      </c>
      <c r="E41" s="48">
        <v>0.33329999999999999</v>
      </c>
      <c r="F41" s="88">
        <v>42185</v>
      </c>
      <c r="G41" s="24">
        <v>36</v>
      </c>
      <c r="H41" s="201">
        <f>100/G41</f>
        <v>2.7777777777777777</v>
      </c>
      <c r="I41" s="233">
        <f t="shared" ref="I41" si="25">H41*J41</f>
        <v>680.55555555555554</v>
      </c>
      <c r="J41" s="90">
        <f>(YEAR(F41)-YEAR(S41))*12+MONTH(F41)-MONTH(S41)</f>
        <v>245</v>
      </c>
      <c r="K41" s="233">
        <f>L41*H41</f>
        <v>-580.55555555555554</v>
      </c>
      <c r="L41" s="90">
        <f>G41-J41</f>
        <v>-209</v>
      </c>
      <c r="M41" s="233">
        <f>N41*H41</f>
        <v>0</v>
      </c>
      <c r="N41" s="90">
        <v>0</v>
      </c>
      <c r="O41" s="233">
        <f t="shared" ref="O41" si="26">K41-M41</f>
        <v>-580.55555555555554</v>
      </c>
      <c r="P41" s="90">
        <v>0</v>
      </c>
      <c r="Q41" s="90">
        <f t="shared" ref="Q41" si="27">M41-O41</f>
        <v>580.55555555555554</v>
      </c>
      <c r="R41" s="11" t="s">
        <v>507</v>
      </c>
      <c r="S41" s="52">
        <v>34700</v>
      </c>
      <c r="T41" s="9">
        <v>5990</v>
      </c>
      <c r="U41" s="116">
        <v>225.03</v>
      </c>
      <c r="V41" s="222">
        <v>1996.4422499999996</v>
      </c>
      <c r="W41" s="222">
        <v>832.48500000000058</v>
      </c>
      <c r="X41" s="89">
        <v>166.37</v>
      </c>
      <c r="Y41" s="152">
        <f>X41*5-0.36</f>
        <v>831.49</v>
      </c>
      <c r="Z41" s="341">
        <f>W41-Y41</f>
        <v>0.99500000000057298</v>
      </c>
      <c r="AA41" s="100">
        <v>115.958</v>
      </c>
      <c r="AB41" s="202">
        <v>29.681999999999999</v>
      </c>
      <c r="AC41" s="100">
        <f>AA41/AB41</f>
        <v>3.9066774476113473</v>
      </c>
      <c r="AD41" s="98">
        <f>Z41*M41/100/K41*100/7</f>
        <v>0</v>
      </c>
      <c r="AE41" s="98">
        <f>AD41*AC41</f>
        <v>0</v>
      </c>
      <c r="AF41" s="98">
        <f>AE41</f>
        <v>0</v>
      </c>
      <c r="AG41" s="98">
        <v>0</v>
      </c>
      <c r="AH41" s="98">
        <v>0</v>
      </c>
      <c r="AI41" s="98">
        <v>0</v>
      </c>
      <c r="AJ41" s="98">
        <v>0</v>
      </c>
      <c r="AK41" s="98">
        <v>0</v>
      </c>
      <c r="AL41" s="98">
        <v>0</v>
      </c>
      <c r="AM41" s="98">
        <f>SUM(AF41:AL41)</f>
        <v>0</v>
      </c>
      <c r="AN41" s="517">
        <f>Z41-AM41</f>
        <v>0.99500000000057298</v>
      </c>
      <c r="AO41" s="59"/>
      <c r="AP41" s="59"/>
      <c r="AQ41" s="59"/>
      <c r="AR41" s="59"/>
      <c r="AS41" s="59"/>
    </row>
    <row r="42" spans="1:45" x14ac:dyDescent="0.2">
      <c r="R42" s="243"/>
      <c r="V42" s="336"/>
      <c r="W42" s="336"/>
      <c r="Y42" s="309"/>
      <c r="AD42" s="263"/>
      <c r="AE42" s="263"/>
      <c r="AF42" s="263">
        <f t="shared" ref="AF42" si="28">SUM(AF15:AF41)</f>
        <v>39.458350695357971</v>
      </c>
      <c r="AG42" s="263"/>
      <c r="AH42" s="263"/>
      <c r="AI42" s="263"/>
      <c r="AJ42" s="263"/>
      <c r="AK42" s="263"/>
      <c r="AL42" s="263">
        <f t="shared" ref="AL42:AM42" si="29">SUM(AL15:AL41)</f>
        <v>39.458350695357971</v>
      </c>
      <c r="AM42" s="263">
        <f t="shared" si="29"/>
        <v>276.20845486750585</v>
      </c>
      <c r="AN42" s="263">
        <f>SUM(AN15:AN41)</f>
        <v>2193.5282951324943</v>
      </c>
    </row>
    <row r="43" spans="1:45" s="150" customFormat="1" x14ac:dyDescent="0.2">
      <c r="A43" s="156" t="s">
        <v>460</v>
      </c>
      <c r="B43" s="132"/>
      <c r="C43" s="132"/>
      <c r="D43" s="133"/>
      <c r="E43" s="133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4"/>
      <c r="S43" s="134"/>
      <c r="T43" s="135"/>
      <c r="U43" s="135"/>
      <c r="V43" s="135"/>
      <c r="W43" s="135"/>
      <c r="X43" s="135"/>
      <c r="Z43"/>
      <c r="AA43"/>
      <c r="AB43" s="121"/>
      <c r="AC43"/>
      <c r="AD43"/>
      <c r="AE43"/>
      <c r="AF43"/>
      <c r="AG43"/>
      <c r="AH43"/>
      <c r="AI43"/>
      <c r="AJ43"/>
      <c r="AK43"/>
      <c r="AL43"/>
      <c r="AM43"/>
      <c r="AN43" s="113"/>
      <c r="AO43" s="522"/>
      <c r="AP43" s="522"/>
      <c r="AQ43" s="522"/>
      <c r="AR43" s="522"/>
      <c r="AS43" s="522"/>
    </row>
    <row r="44" spans="1:45" s="150" customFormat="1" x14ac:dyDescent="0.2">
      <c r="A44" s="310" t="s">
        <v>719</v>
      </c>
      <c r="B44" s="311"/>
      <c r="C44" s="311"/>
      <c r="D44" s="312"/>
      <c r="E44" s="312"/>
      <c r="F44"/>
      <c r="G44"/>
      <c r="H44"/>
      <c r="I44"/>
      <c r="J44"/>
      <c r="K44"/>
      <c r="L44"/>
      <c r="M44"/>
      <c r="N44"/>
      <c r="O44"/>
      <c r="P44"/>
      <c r="Q44"/>
      <c r="R44" s="28"/>
      <c r="S44" s="28"/>
      <c r="T44" s="16"/>
      <c r="U44" s="16"/>
      <c r="V44" s="16"/>
      <c r="W44" s="16"/>
      <c r="X44" s="16"/>
      <c r="Z44"/>
      <c r="AA44"/>
      <c r="AB44" s="130"/>
      <c r="AC44"/>
      <c r="AD44"/>
      <c r="AE44" s="16"/>
      <c r="AF44"/>
      <c r="AG44"/>
      <c r="AH44"/>
      <c r="AI44"/>
      <c r="AJ44"/>
      <c r="AK44"/>
      <c r="AL44"/>
      <c r="AM44" s="338"/>
      <c r="AN44" s="113"/>
      <c r="AO44" s="522"/>
      <c r="AP44" s="522"/>
      <c r="AQ44" s="522"/>
      <c r="AR44" s="522"/>
      <c r="AS44" s="522"/>
    </row>
    <row r="45" spans="1:45" ht="30.75" hidden="1" customHeight="1" x14ac:dyDescent="0.2">
      <c r="A45" s="568" t="s">
        <v>613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239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</row>
    <row r="46" spans="1:45" hidden="1" x14ac:dyDescent="0.2">
      <c r="A46" s="568"/>
      <c r="B46" s="568"/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</row>
  </sheetData>
  <mergeCells count="26">
    <mergeCell ref="D10:P10"/>
    <mergeCell ref="R10:T10"/>
    <mergeCell ref="W10:AN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45:AA46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A52"/>
  <sheetViews>
    <sheetView topLeftCell="O15" zoomScale="110" zoomScaleNormal="110" workbookViewId="0">
      <selection activeCell="AN48" sqref="AN48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8554687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  <col min="43" max="44" width="11.42578125" style="22"/>
  </cols>
  <sheetData>
    <row r="1" spans="1:5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/>
      <c r="AO1" s="137"/>
      <c r="AP1" s="141"/>
    </row>
    <row r="2" spans="1:5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5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5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53" x14ac:dyDescent="0.2">
      <c r="A5" s="137"/>
      <c r="B5" s="144" t="s">
        <v>688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5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5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5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5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5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5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53" ht="54" customHeight="1" x14ac:dyDescent="0.25">
      <c r="A11" s="552" t="s">
        <v>60</v>
      </c>
      <c r="B11" s="552" t="s">
        <v>0</v>
      </c>
      <c r="C11" s="2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54" t="s">
        <v>680</v>
      </c>
      <c r="O11" s="556" t="s">
        <v>643</v>
      </c>
      <c r="P11" s="26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748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53" ht="32.25" customHeight="1" x14ac:dyDescent="0.25">
      <c r="A12" s="553"/>
      <c r="B12" s="553"/>
      <c r="C12" s="229" t="s">
        <v>688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53" s="22" customFormat="1" x14ac:dyDescent="0.2">
      <c r="A13" s="172" t="s">
        <v>68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426"/>
      <c r="AR13" s="426"/>
      <c r="AS13" s="427"/>
      <c r="AT13" s="59"/>
      <c r="AU13" s="59"/>
      <c r="AV13" s="59"/>
      <c r="AW13" s="59"/>
      <c r="AX13" s="59"/>
      <c r="AY13" s="59"/>
      <c r="AZ13" s="59"/>
      <c r="BA13" s="59"/>
    </row>
    <row r="14" spans="1:53" s="22" customFormat="1" x14ac:dyDescent="0.2">
      <c r="A14" s="172" t="s">
        <v>69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426"/>
      <c r="AR14" s="426"/>
      <c r="AS14" s="427"/>
      <c r="AT14" s="59"/>
      <c r="AU14" s="59"/>
      <c r="AV14" s="59"/>
      <c r="AW14" s="59"/>
      <c r="AX14" s="59"/>
      <c r="AY14" s="59"/>
      <c r="AZ14" s="59"/>
      <c r="BA14" s="59"/>
    </row>
    <row r="15" spans="1:53" s="22" customFormat="1" x14ac:dyDescent="0.2">
      <c r="A15" s="441" t="s">
        <v>850</v>
      </c>
      <c r="B15" s="434" t="s">
        <v>851</v>
      </c>
      <c r="C15" s="450" t="s">
        <v>459</v>
      </c>
      <c r="D15" s="435">
        <v>3</v>
      </c>
      <c r="E15" s="504">
        <v>0.33329999999999999</v>
      </c>
      <c r="F15" s="437">
        <v>42185</v>
      </c>
      <c r="G15" s="454">
        <v>36</v>
      </c>
      <c r="H15" s="439">
        <f>100/G15</f>
        <v>2.7777777777777777</v>
      </c>
      <c r="I15" s="440">
        <f t="shared" ref="I15" si="0">H15*J15</f>
        <v>0</v>
      </c>
      <c r="J15" s="438">
        <v>0</v>
      </c>
      <c r="K15" s="440">
        <f>L15*H15</f>
        <v>100</v>
      </c>
      <c r="L15" s="438">
        <f>G15-J15</f>
        <v>36</v>
      </c>
      <c r="M15" s="440">
        <f>N15*H15</f>
        <v>2.7777777777777777</v>
      </c>
      <c r="N15" s="438">
        <v>1</v>
      </c>
      <c r="O15" s="440">
        <f t="shared" ref="O15:Q15" si="1">K15-M15</f>
        <v>97.222222222222229</v>
      </c>
      <c r="P15" s="438">
        <f t="shared" si="1"/>
        <v>35</v>
      </c>
      <c r="Q15" s="438">
        <f t="shared" si="1"/>
        <v>-94.444444444444457</v>
      </c>
      <c r="R15" s="454" t="s">
        <v>852</v>
      </c>
      <c r="S15" s="505">
        <v>42339</v>
      </c>
      <c r="T15" s="506">
        <v>9499</v>
      </c>
      <c r="U15" s="507">
        <v>0</v>
      </c>
      <c r="V15" s="507">
        <v>0</v>
      </c>
      <c r="W15" s="447">
        <v>0</v>
      </c>
      <c r="X15" s="445">
        <v>115.958</v>
      </c>
      <c r="Y15" s="445">
        <v>118.532</v>
      </c>
      <c r="Z15" s="445">
        <f>X15/Y15</f>
        <v>0.97828434515573859</v>
      </c>
      <c r="AA15" s="447">
        <f>T15*M15/100/K15*100/1</f>
        <v>263.86111111111109</v>
      </c>
      <c r="AB15" s="447">
        <f>AA15*Z15</f>
        <v>258.13119429539887</v>
      </c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>
        <v>258.13</v>
      </c>
      <c r="AO15" s="447">
        <f>SUM(AC15:AN15)</f>
        <v>258.13</v>
      </c>
      <c r="AP15" s="448">
        <f>T15-AO15</f>
        <v>9240.8700000000008</v>
      </c>
    </row>
    <row r="16" spans="1:53" s="22" customFormat="1" x14ac:dyDescent="0.2">
      <c r="A16" s="41" t="s">
        <v>74</v>
      </c>
      <c r="B16" s="41"/>
      <c r="C16" s="41"/>
      <c r="D16" s="118"/>
      <c r="E16" s="3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9"/>
      <c r="S16" s="29"/>
      <c r="T16" s="18"/>
      <c r="U16" s="18"/>
      <c r="V16" s="154"/>
      <c r="W16" s="110"/>
      <c r="X16" s="110"/>
      <c r="Y16" s="126"/>
      <c r="Z16" s="110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17"/>
    </row>
    <row r="17" spans="1:45" s="22" customFormat="1" x14ac:dyDescent="0.2">
      <c r="A17" s="172" t="s">
        <v>591</v>
      </c>
      <c r="B17" s="13"/>
      <c r="C17" s="13"/>
      <c r="D17" s="8"/>
      <c r="E17" s="3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8"/>
      <c r="V17" s="154"/>
      <c r="W17" s="110"/>
      <c r="X17" s="110"/>
      <c r="Y17" s="158"/>
      <c r="Z17" s="110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17"/>
    </row>
    <row r="18" spans="1:45" s="22" customFormat="1" x14ac:dyDescent="0.2">
      <c r="A18" s="145" t="s">
        <v>111</v>
      </c>
      <c r="B18" s="145" t="s">
        <v>590</v>
      </c>
      <c r="C18" s="87" t="s">
        <v>467</v>
      </c>
      <c r="D18" s="101">
        <v>10</v>
      </c>
      <c r="E18" s="96">
        <v>0.1</v>
      </c>
      <c r="F18" s="88">
        <v>42185</v>
      </c>
      <c r="G18" s="90">
        <v>120</v>
      </c>
      <c r="H18" s="201">
        <f>100/G18</f>
        <v>0.83333333333333337</v>
      </c>
      <c r="I18" s="233">
        <f>H18*J18</f>
        <v>74.166666666666671</v>
      </c>
      <c r="J18" s="90">
        <f>(YEAR(F18)-YEAR(S18))*12+MONTH(F18)-MONTH(S18)</f>
        <v>89</v>
      </c>
      <c r="K18" s="233">
        <f>L18*H18</f>
        <v>25.833333333333336</v>
      </c>
      <c r="L18" s="90">
        <f>G18-J18</f>
        <v>31</v>
      </c>
      <c r="M18" s="233">
        <f>N18*H18</f>
        <v>5.8333333333333339</v>
      </c>
      <c r="N18" s="90">
        <v>7</v>
      </c>
      <c r="O18" s="233">
        <f>P18*H18</f>
        <v>20</v>
      </c>
      <c r="P18" s="90">
        <f t="shared" ref="P18" si="2">L18-N18</f>
        <v>24</v>
      </c>
      <c r="Q18" s="88">
        <v>42428</v>
      </c>
      <c r="R18" s="88" t="s">
        <v>595</v>
      </c>
      <c r="S18" s="88">
        <v>39448</v>
      </c>
      <c r="T18" s="89">
        <v>650</v>
      </c>
      <c r="U18" s="89">
        <v>129.97999999999999</v>
      </c>
      <c r="V18" s="152">
        <v>27.1</v>
      </c>
      <c r="W18" s="233">
        <v>0</v>
      </c>
      <c r="X18" s="100">
        <v>115.958</v>
      </c>
      <c r="Y18" s="236">
        <v>126.146</v>
      </c>
      <c r="Z18" s="100">
        <f>X18/Y18</f>
        <v>0.91923644031519036</v>
      </c>
      <c r="AA18" s="98">
        <f>U18*M18/100/K18*100/7</f>
        <v>4.192903225806452</v>
      </c>
      <c r="AB18" s="98">
        <f>AA18*Z18</f>
        <v>3.8542694358764016</v>
      </c>
      <c r="AC18" s="98"/>
      <c r="AD18" s="98"/>
      <c r="AE18" s="98"/>
      <c r="AF18" s="98"/>
      <c r="AG18" s="98"/>
      <c r="AH18" s="98">
        <f>AB18</f>
        <v>3.8542694358764016</v>
      </c>
      <c r="AI18" s="98">
        <v>3.8542694358764016</v>
      </c>
      <c r="AJ18" s="98">
        <v>3.8542694358764016</v>
      </c>
      <c r="AK18" s="98">
        <v>3.8542694358764016</v>
      </c>
      <c r="AL18" s="98">
        <v>3.8542694358764016</v>
      </c>
      <c r="AM18" s="98">
        <v>3.8542694358764016</v>
      </c>
      <c r="AN18" s="98">
        <v>3.8542694358763998</v>
      </c>
      <c r="AO18" s="98">
        <f>SUM(AC18:AN18)+V18</f>
        <v>54.079886051134807</v>
      </c>
      <c r="AP18" s="116">
        <f>U18-AO18</f>
        <v>75.900113948865183</v>
      </c>
      <c r="AQ18" s="168"/>
    </row>
    <row r="19" spans="1:45" s="22" customFormat="1" x14ac:dyDescent="0.2">
      <c r="A19" s="172" t="s">
        <v>74</v>
      </c>
      <c r="B19" s="172"/>
      <c r="C19" s="87"/>
      <c r="D19" s="42"/>
      <c r="E19" s="38"/>
      <c r="F19" s="88"/>
      <c r="G19" s="24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29"/>
      <c r="S19" s="29"/>
      <c r="T19" s="18"/>
      <c r="U19" s="18"/>
      <c r="V19" s="154"/>
      <c r="W19" s="110"/>
      <c r="X19" s="110"/>
      <c r="Y19" s="237"/>
      <c r="Z19" s="100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116"/>
    </row>
    <row r="20" spans="1:45" s="22" customFormat="1" x14ac:dyDescent="0.2">
      <c r="A20" s="172" t="s">
        <v>80</v>
      </c>
      <c r="B20" s="46"/>
      <c r="C20" s="87"/>
      <c r="D20" s="8"/>
      <c r="E20" s="38"/>
      <c r="F20" s="88"/>
      <c r="G20" s="24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29"/>
      <c r="S20" s="29"/>
      <c r="T20" s="18"/>
      <c r="U20" s="18"/>
      <c r="V20" s="154"/>
      <c r="W20" s="110"/>
      <c r="X20" s="110"/>
      <c r="Y20" s="237"/>
      <c r="Z20" s="100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116"/>
    </row>
    <row r="21" spans="1:45" s="22" customFormat="1" x14ac:dyDescent="0.2">
      <c r="A21" s="145" t="s">
        <v>112</v>
      </c>
      <c r="B21" s="145" t="s">
        <v>592</v>
      </c>
      <c r="C21" s="87" t="s">
        <v>467</v>
      </c>
      <c r="D21" s="101">
        <v>10</v>
      </c>
      <c r="E21" s="96">
        <v>0.1</v>
      </c>
      <c r="F21" s="88">
        <v>42185</v>
      </c>
      <c r="G21" s="90">
        <v>120</v>
      </c>
      <c r="H21" s="201">
        <f t="shared" ref="H21:H26" si="3">100/G21</f>
        <v>0.83333333333333337</v>
      </c>
      <c r="I21" s="233">
        <f t="shared" ref="I21:I26" si="4">H21*J21</f>
        <v>74.166666666666671</v>
      </c>
      <c r="J21" s="90">
        <f>(YEAR(F21)-YEAR(S21))*12+MONTH(F21)-MONTH(S21)</f>
        <v>89</v>
      </c>
      <c r="K21" s="233">
        <f t="shared" ref="K21:K26" si="5">L21*H21</f>
        <v>25.833333333333336</v>
      </c>
      <c r="L21" s="90">
        <f t="shared" ref="L21:L26" si="6">G21-J21</f>
        <v>31</v>
      </c>
      <c r="M21" s="233">
        <f t="shared" ref="M21:M26" si="7">N21*H21</f>
        <v>5.8333333333333339</v>
      </c>
      <c r="N21" s="90">
        <v>7</v>
      </c>
      <c r="O21" s="233">
        <f t="shared" ref="O21:O26" si="8">P21*H21</f>
        <v>20</v>
      </c>
      <c r="P21" s="90">
        <f t="shared" ref="P21:P26" si="9">L21-N21</f>
        <v>24</v>
      </c>
      <c r="Q21" s="90"/>
      <c r="R21" s="88" t="s">
        <v>595</v>
      </c>
      <c r="S21" s="88">
        <v>39448</v>
      </c>
      <c r="T21" s="89">
        <v>650</v>
      </c>
      <c r="U21" s="89">
        <v>129.97999999999999</v>
      </c>
      <c r="V21" s="152">
        <v>27.1</v>
      </c>
      <c r="W21" s="233">
        <v>0</v>
      </c>
      <c r="X21" s="100">
        <v>115.958</v>
      </c>
      <c r="Y21" s="236">
        <v>126.146</v>
      </c>
      <c r="Z21" s="100">
        <f t="shared" ref="Z21:Z26" si="10">X21/Y21</f>
        <v>0.91923644031519036</v>
      </c>
      <c r="AA21" s="98">
        <f>U21*M21/100/K21*100/7</f>
        <v>4.192903225806452</v>
      </c>
      <c r="AB21" s="98">
        <f t="shared" ref="AB21:AB26" si="11">AA21*Z21</f>
        <v>3.8542694358764016</v>
      </c>
      <c r="AC21" s="98"/>
      <c r="AD21" s="98"/>
      <c r="AE21" s="98"/>
      <c r="AF21" s="98"/>
      <c r="AG21" s="98"/>
      <c r="AH21" s="98">
        <f>AB21</f>
        <v>3.8542694358764016</v>
      </c>
      <c r="AI21" s="98">
        <v>3.8542694358764016</v>
      </c>
      <c r="AJ21" s="98">
        <v>3.8542694358764016</v>
      </c>
      <c r="AK21" s="98">
        <v>3.8542694358764016</v>
      </c>
      <c r="AL21" s="98">
        <v>3.8542694358764016</v>
      </c>
      <c r="AM21" s="98">
        <v>3.8542694358764016</v>
      </c>
      <c r="AN21" s="98">
        <v>3.8542694358764016</v>
      </c>
      <c r="AO21" s="98">
        <f t="shared" ref="AO21:AO26" si="12">SUM(AC21:AN21)+V21</f>
        <v>54.079886051134807</v>
      </c>
      <c r="AP21" s="116">
        <f>U21-AO21</f>
        <v>75.900113948865183</v>
      </c>
    </row>
    <row r="22" spans="1:45" s="22" customFormat="1" x14ac:dyDescent="0.2">
      <c r="A22" s="145" t="s">
        <v>112</v>
      </c>
      <c r="B22" s="145" t="s">
        <v>593</v>
      </c>
      <c r="C22" s="87" t="s">
        <v>459</v>
      </c>
      <c r="D22" s="101">
        <v>10</v>
      </c>
      <c r="E22" s="96">
        <v>0.1</v>
      </c>
      <c r="F22" s="88">
        <v>42185</v>
      </c>
      <c r="G22" s="90">
        <v>120</v>
      </c>
      <c r="H22" s="201">
        <f t="shared" si="3"/>
        <v>0.83333333333333337</v>
      </c>
      <c r="I22" s="233">
        <f t="shared" si="4"/>
        <v>25.833333333333336</v>
      </c>
      <c r="J22" s="90">
        <f>(YEAR(F22)-YEAR(S22))*12+MONTH(F22)-MONTH(S22)</f>
        <v>31</v>
      </c>
      <c r="K22" s="233">
        <f t="shared" si="5"/>
        <v>74.166666666666671</v>
      </c>
      <c r="L22" s="90">
        <f t="shared" si="6"/>
        <v>89</v>
      </c>
      <c r="M22" s="233">
        <f t="shared" si="7"/>
        <v>5.8333333333333339</v>
      </c>
      <c r="N22" s="90">
        <v>7</v>
      </c>
      <c r="O22" s="233">
        <f t="shared" si="8"/>
        <v>68.333333333333343</v>
      </c>
      <c r="P22" s="90">
        <f t="shared" si="9"/>
        <v>82</v>
      </c>
      <c r="Q22" s="90"/>
      <c r="R22" s="88" t="s">
        <v>601</v>
      </c>
      <c r="S22" s="88">
        <v>41240</v>
      </c>
      <c r="T22" s="89">
        <v>2146</v>
      </c>
      <c r="U22" s="89">
        <v>1698.94</v>
      </c>
      <c r="V22" s="152">
        <v>89.4</v>
      </c>
      <c r="W22" s="233">
        <v>0</v>
      </c>
      <c r="X22" s="100">
        <v>115.958</v>
      </c>
      <c r="Y22" s="236">
        <v>107</v>
      </c>
      <c r="Z22" s="100">
        <f t="shared" si="10"/>
        <v>1.0837196261682243</v>
      </c>
      <c r="AA22" s="98">
        <f>U22*M22/100/K22*100/7</f>
        <v>19.089213483146072</v>
      </c>
      <c r="AB22" s="98">
        <f t="shared" si="11"/>
        <v>20.687355299800487</v>
      </c>
      <c r="AC22" s="98"/>
      <c r="AD22" s="98"/>
      <c r="AE22" s="98"/>
      <c r="AF22" s="98"/>
      <c r="AG22" s="98"/>
      <c r="AH22" s="98">
        <f>AB22</f>
        <v>20.687355299800487</v>
      </c>
      <c r="AI22" s="98">
        <v>20.687355299800487</v>
      </c>
      <c r="AJ22" s="98">
        <v>20.687355299800487</v>
      </c>
      <c r="AK22" s="98">
        <v>20.687355299800487</v>
      </c>
      <c r="AL22" s="98">
        <v>20.687355299800487</v>
      </c>
      <c r="AM22" s="98">
        <v>20.687355299800487</v>
      </c>
      <c r="AN22" s="98">
        <v>20.687355299800487</v>
      </c>
      <c r="AO22" s="98">
        <f t="shared" si="12"/>
        <v>234.21148709860341</v>
      </c>
      <c r="AP22" s="116">
        <f>U22-AO22</f>
        <v>1464.7285129013967</v>
      </c>
    </row>
    <row r="23" spans="1:45" s="22" customFormat="1" x14ac:dyDescent="0.2">
      <c r="A23" s="13" t="s">
        <v>112</v>
      </c>
      <c r="B23" s="145" t="s">
        <v>578</v>
      </c>
      <c r="C23" s="87" t="s">
        <v>459</v>
      </c>
      <c r="D23" s="101">
        <v>10</v>
      </c>
      <c r="E23" s="96">
        <v>0.1</v>
      </c>
      <c r="F23" s="88">
        <v>42185</v>
      </c>
      <c r="G23" s="90">
        <v>120</v>
      </c>
      <c r="H23" s="201">
        <f t="shared" si="3"/>
        <v>0.83333333333333337</v>
      </c>
      <c r="I23" s="233">
        <f t="shared" si="4"/>
        <v>4.166666666666667</v>
      </c>
      <c r="J23" s="90">
        <f>(YEAR(F23)-YEAR(S23))*12+MONTH(F23)-MONTH(S23)</f>
        <v>5</v>
      </c>
      <c r="K23" s="233">
        <f t="shared" si="5"/>
        <v>95.833333333333343</v>
      </c>
      <c r="L23" s="90">
        <f t="shared" si="6"/>
        <v>115</v>
      </c>
      <c r="M23" s="233">
        <f t="shared" si="7"/>
        <v>5.8333333333333339</v>
      </c>
      <c r="N23" s="90">
        <v>7</v>
      </c>
      <c r="O23" s="233">
        <f t="shared" si="8"/>
        <v>90</v>
      </c>
      <c r="P23" s="90">
        <f t="shared" si="9"/>
        <v>108</v>
      </c>
      <c r="Q23" s="90"/>
      <c r="R23" s="88" t="s">
        <v>603</v>
      </c>
      <c r="S23" s="88">
        <v>42025</v>
      </c>
      <c r="T23" s="89">
        <v>1450</v>
      </c>
      <c r="U23" s="89">
        <v>1450</v>
      </c>
      <c r="V23" s="152">
        <v>0</v>
      </c>
      <c r="W23" s="233">
        <v>0</v>
      </c>
      <c r="X23" s="100">
        <v>115.958</v>
      </c>
      <c r="Y23" s="236">
        <v>115.95399999999999</v>
      </c>
      <c r="Z23" s="100">
        <f t="shared" si="10"/>
        <v>1.0000344964382428</v>
      </c>
      <c r="AA23" s="98">
        <f>U23*M23/100/K23*100/7</f>
        <v>12.608695652173912</v>
      </c>
      <c r="AB23" s="98">
        <f t="shared" si="11"/>
        <v>12.609130607264801</v>
      </c>
      <c r="AC23" s="98"/>
      <c r="AD23" s="98"/>
      <c r="AE23" s="98"/>
      <c r="AF23" s="98"/>
      <c r="AG23" s="98"/>
      <c r="AH23" s="98">
        <f>AB23</f>
        <v>12.609130607264801</v>
      </c>
      <c r="AI23" s="98">
        <v>12.609130607264801</v>
      </c>
      <c r="AJ23" s="98">
        <v>12.609130607264801</v>
      </c>
      <c r="AK23" s="98">
        <v>12.609130607264801</v>
      </c>
      <c r="AL23" s="98">
        <v>12.609130607264801</v>
      </c>
      <c r="AM23" s="98">
        <v>12.609130607264801</v>
      </c>
      <c r="AN23" s="98">
        <v>12.609130607264801</v>
      </c>
      <c r="AO23" s="98">
        <f t="shared" si="12"/>
        <v>88.263914250853603</v>
      </c>
      <c r="AP23" s="116">
        <f>U23-AO23</f>
        <v>1361.7360857491465</v>
      </c>
    </row>
    <row r="24" spans="1:45" s="22" customFormat="1" x14ac:dyDescent="0.2">
      <c r="A24" s="13" t="s">
        <v>112</v>
      </c>
      <c r="B24" s="145" t="s">
        <v>579</v>
      </c>
      <c r="C24" s="87" t="s">
        <v>459</v>
      </c>
      <c r="D24" s="101">
        <v>10</v>
      </c>
      <c r="E24" s="96">
        <v>0.1</v>
      </c>
      <c r="F24" s="88">
        <v>42185</v>
      </c>
      <c r="G24" s="90">
        <v>120</v>
      </c>
      <c r="H24" s="201">
        <f t="shared" si="3"/>
        <v>0.83333333333333337</v>
      </c>
      <c r="I24" s="233">
        <f t="shared" si="4"/>
        <v>4.166666666666667</v>
      </c>
      <c r="J24" s="90">
        <f>(YEAR(F24)-YEAR(S24))*12+MONTH(F24)-MONTH(S24)</f>
        <v>5</v>
      </c>
      <c r="K24" s="233">
        <f t="shared" si="5"/>
        <v>95.833333333333343</v>
      </c>
      <c r="L24" s="90">
        <f t="shared" si="6"/>
        <v>115</v>
      </c>
      <c r="M24" s="233">
        <f t="shared" si="7"/>
        <v>5.8333333333333339</v>
      </c>
      <c r="N24" s="90">
        <v>7</v>
      </c>
      <c r="O24" s="233">
        <f t="shared" si="8"/>
        <v>90</v>
      </c>
      <c r="P24" s="90">
        <f t="shared" si="9"/>
        <v>108</v>
      </c>
      <c r="Q24" s="90"/>
      <c r="R24" s="88" t="s">
        <v>604</v>
      </c>
      <c r="S24" s="88">
        <v>42016</v>
      </c>
      <c r="T24" s="89">
        <v>1276</v>
      </c>
      <c r="U24" s="89">
        <v>1276</v>
      </c>
      <c r="V24" s="152">
        <v>0</v>
      </c>
      <c r="W24" s="233">
        <v>0</v>
      </c>
      <c r="X24" s="100">
        <v>115.958</v>
      </c>
      <c r="Y24" s="236">
        <v>115.95399999999999</v>
      </c>
      <c r="Z24" s="100">
        <f t="shared" si="10"/>
        <v>1.0000344964382428</v>
      </c>
      <c r="AA24" s="98">
        <f>U24*M24/100/K24*100/7</f>
        <v>11.095652173913042</v>
      </c>
      <c r="AB24" s="98">
        <f t="shared" si="11"/>
        <v>11.096034934393023</v>
      </c>
      <c r="AC24" s="98"/>
      <c r="AD24" s="98"/>
      <c r="AE24" s="98"/>
      <c r="AF24" s="98"/>
      <c r="AG24" s="98"/>
      <c r="AH24" s="98">
        <f>AB24</f>
        <v>11.096034934393023</v>
      </c>
      <c r="AI24" s="98">
        <v>11.096034934393023</v>
      </c>
      <c r="AJ24" s="98">
        <v>11.096034934393023</v>
      </c>
      <c r="AK24" s="98">
        <v>11.096034934393023</v>
      </c>
      <c r="AL24" s="98">
        <v>11.096034934393023</v>
      </c>
      <c r="AM24" s="98">
        <v>11.096034934393023</v>
      </c>
      <c r="AN24" s="98">
        <v>11.096034934393023</v>
      </c>
      <c r="AO24" s="98">
        <f t="shared" si="12"/>
        <v>77.672244540751151</v>
      </c>
      <c r="AP24" s="116">
        <f>U24-AO24</f>
        <v>1198.3277554592489</v>
      </c>
    </row>
    <row r="25" spans="1:45" s="22" customFormat="1" x14ac:dyDescent="0.2">
      <c r="A25" s="13" t="s">
        <v>112</v>
      </c>
      <c r="B25" s="145" t="s">
        <v>605</v>
      </c>
      <c r="C25" s="87" t="s">
        <v>459</v>
      </c>
      <c r="D25" s="101">
        <v>10</v>
      </c>
      <c r="E25" s="96">
        <v>0.1</v>
      </c>
      <c r="F25" s="88">
        <v>42185</v>
      </c>
      <c r="G25" s="90">
        <v>120</v>
      </c>
      <c r="H25" s="201">
        <f t="shared" ref="H25" si="13">100/G25</f>
        <v>0.83333333333333337</v>
      </c>
      <c r="I25" s="233">
        <f t="shared" si="4"/>
        <v>4.166666666666667</v>
      </c>
      <c r="J25" s="90">
        <f>(YEAR(F25)-YEAR(S25))*12+MONTH(F25)-MONTH(S25)</f>
        <v>5</v>
      </c>
      <c r="K25" s="233">
        <f t="shared" si="5"/>
        <v>95.833333333333343</v>
      </c>
      <c r="L25" s="90">
        <f t="shared" si="6"/>
        <v>115</v>
      </c>
      <c r="M25" s="233">
        <f t="shared" si="7"/>
        <v>5.8333333333333339</v>
      </c>
      <c r="N25" s="90">
        <v>7</v>
      </c>
      <c r="O25" s="233">
        <f t="shared" si="8"/>
        <v>90</v>
      </c>
      <c r="P25" s="90">
        <f t="shared" ref="P25" si="14">L25-N25</f>
        <v>108</v>
      </c>
      <c r="Q25" s="90">
        <f>M25-O25</f>
        <v>-84.166666666666671</v>
      </c>
      <c r="R25" s="88" t="s">
        <v>604</v>
      </c>
      <c r="S25" s="88">
        <v>42025</v>
      </c>
      <c r="T25" s="89">
        <v>835.2</v>
      </c>
      <c r="U25" s="89">
        <v>835.2</v>
      </c>
      <c r="V25" s="152">
        <v>0</v>
      </c>
      <c r="W25" s="233">
        <v>0</v>
      </c>
      <c r="X25" s="100">
        <v>115.958</v>
      </c>
      <c r="Y25" s="236">
        <v>115.95399999999999</v>
      </c>
      <c r="Z25" s="100">
        <f t="shared" si="10"/>
        <v>1.0000344964382428</v>
      </c>
      <c r="AA25" s="98">
        <f>U25*M25/100/K25*100/7</f>
        <v>7.2626086956521743</v>
      </c>
      <c r="AB25" s="98">
        <f t="shared" si="11"/>
        <v>7.2628592297845254</v>
      </c>
      <c r="AC25" s="98"/>
      <c r="AD25" s="98"/>
      <c r="AE25" s="98"/>
      <c r="AF25" s="98"/>
      <c r="AG25" s="98"/>
      <c r="AH25" s="98">
        <f>AB25</f>
        <v>7.2628592297845254</v>
      </c>
      <c r="AI25" s="98">
        <v>7.2628592297845254</v>
      </c>
      <c r="AJ25" s="98">
        <v>7.2628592297845254</v>
      </c>
      <c r="AK25" s="98">
        <v>7.2628592297845254</v>
      </c>
      <c r="AL25" s="98">
        <v>7.2628592297845254</v>
      </c>
      <c r="AM25" s="98">
        <v>7.2628592297845254</v>
      </c>
      <c r="AN25" s="98">
        <v>7.2628592297845254</v>
      </c>
      <c r="AO25" s="98">
        <f t="shared" si="12"/>
        <v>50.840014608491678</v>
      </c>
      <c r="AP25" s="116">
        <f>U25-AO25</f>
        <v>784.35998539150842</v>
      </c>
    </row>
    <row r="26" spans="1:45" s="449" customFormat="1" x14ac:dyDescent="0.2">
      <c r="A26" s="434" t="s">
        <v>112</v>
      </c>
      <c r="B26" s="434" t="s">
        <v>848</v>
      </c>
      <c r="C26" s="450" t="s">
        <v>459</v>
      </c>
      <c r="D26" s="435">
        <v>10</v>
      </c>
      <c r="E26" s="451">
        <v>0.1</v>
      </c>
      <c r="F26" s="437">
        <v>42185</v>
      </c>
      <c r="G26" s="438">
        <v>120</v>
      </c>
      <c r="H26" s="439">
        <f t="shared" si="3"/>
        <v>0.83333333333333337</v>
      </c>
      <c r="I26" s="440">
        <f t="shared" si="4"/>
        <v>0</v>
      </c>
      <c r="J26" s="438">
        <v>0</v>
      </c>
      <c r="K26" s="440">
        <f t="shared" si="5"/>
        <v>100</v>
      </c>
      <c r="L26" s="438">
        <f t="shared" si="6"/>
        <v>120</v>
      </c>
      <c r="M26" s="440">
        <f t="shared" si="7"/>
        <v>0.83333333333333337</v>
      </c>
      <c r="N26" s="438">
        <v>1</v>
      </c>
      <c r="O26" s="440">
        <f t="shared" si="8"/>
        <v>99.166666666666671</v>
      </c>
      <c r="P26" s="438">
        <f t="shared" si="9"/>
        <v>119</v>
      </c>
      <c r="Q26" s="438">
        <f>M26-O26</f>
        <v>-98.333333333333343</v>
      </c>
      <c r="R26" s="437" t="s">
        <v>849</v>
      </c>
      <c r="S26" s="437">
        <v>42338</v>
      </c>
      <c r="T26" s="443">
        <v>349</v>
      </c>
      <c r="U26" s="443">
        <v>0</v>
      </c>
      <c r="V26" s="444">
        <v>0</v>
      </c>
      <c r="W26" s="440">
        <v>0</v>
      </c>
      <c r="X26" s="445">
        <v>115.958</v>
      </c>
      <c r="Y26" s="452">
        <v>118.051</v>
      </c>
      <c r="Z26" s="445">
        <f t="shared" si="10"/>
        <v>0.98227037466857536</v>
      </c>
      <c r="AA26" s="447">
        <f>H26*T26/100</f>
        <v>2.9083333333333337</v>
      </c>
      <c r="AB26" s="447">
        <f t="shared" si="11"/>
        <v>2.8567696729944405</v>
      </c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7"/>
      <c r="AN26" s="447">
        <f>2.86</f>
        <v>2.86</v>
      </c>
      <c r="AO26" s="447">
        <f t="shared" si="12"/>
        <v>2.86</v>
      </c>
      <c r="AP26" s="448">
        <f>T26-AO26</f>
        <v>346.14</v>
      </c>
      <c r="AQ26" s="22"/>
      <c r="AR26" s="22"/>
    </row>
    <row r="27" spans="1:45" s="22" customFormat="1" x14ac:dyDescent="0.2">
      <c r="A27" s="172" t="s">
        <v>68</v>
      </c>
      <c r="B27" s="172"/>
      <c r="C27" s="87"/>
      <c r="D27" s="42"/>
      <c r="E27" s="38"/>
      <c r="F27" s="88"/>
      <c r="G27" s="24"/>
      <c r="H27" s="201"/>
      <c r="I27" s="90"/>
      <c r="J27" s="90"/>
      <c r="K27" s="90"/>
      <c r="L27" s="90"/>
      <c r="M27" s="90"/>
      <c r="N27" s="90"/>
      <c r="O27" s="90"/>
      <c r="P27" s="90"/>
      <c r="Q27" s="90"/>
      <c r="R27" s="29"/>
      <c r="S27" s="29"/>
      <c r="T27" s="18"/>
      <c r="U27" s="18"/>
      <c r="V27" s="154"/>
      <c r="W27" s="233">
        <v>0</v>
      </c>
      <c r="X27" s="110"/>
      <c r="Y27" s="237"/>
      <c r="Z27" s="100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16"/>
    </row>
    <row r="28" spans="1:45" s="22" customFormat="1" x14ac:dyDescent="0.2">
      <c r="A28" s="172" t="s">
        <v>114</v>
      </c>
      <c r="B28" s="145"/>
      <c r="C28" s="87"/>
      <c r="D28" s="8"/>
      <c r="E28" s="38"/>
      <c r="F28" s="24"/>
      <c r="G28" s="24"/>
      <c r="H28" s="256"/>
      <c r="I28" s="24"/>
      <c r="J28" s="24"/>
      <c r="K28" s="24"/>
      <c r="L28" s="24"/>
      <c r="M28" s="24"/>
      <c r="N28" s="24"/>
      <c r="O28" s="24"/>
      <c r="P28" s="24"/>
      <c r="Q28" s="24"/>
      <c r="R28" s="29"/>
      <c r="S28" s="29"/>
      <c r="T28" s="18"/>
      <c r="U28" s="18"/>
      <c r="V28" s="154"/>
      <c r="W28" s="110"/>
      <c r="X28" s="110"/>
      <c r="Y28" s="237"/>
      <c r="Z28" s="110"/>
      <c r="AA28" s="109"/>
      <c r="AB28" s="109"/>
      <c r="AC28" s="109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16"/>
    </row>
    <row r="29" spans="1:45" s="449" customFormat="1" x14ac:dyDescent="0.2">
      <c r="A29" s="434" t="s">
        <v>381</v>
      </c>
      <c r="B29" s="434" t="s">
        <v>871</v>
      </c>
      <c r="C29" s="450" t="s">
        <v>459</v>
      </c>
      <c r="D29" s="435">
        <v>10</v>
      </c>
      <c r="E29" s="451">
        <v>0.1</v>
      </c>
      <c r="F29" s="437">
        <v>42344</v>
      </c>
      <c r="G29" s="438">
        <v>120</v>
      </c>
      <c r="H29" s="439">
        <f>100/G29</f>
        <v>0.83333333333333337</v>
      </c>
      <c r="I29" s="440">
        <f>H29*J29</f>
        <v>0</v>
      </c>
      <c r="J29" s="438">
        <f>(YEAR(F29)-YEAR(S29))*12+MONTH(F29)-MONTH(S29)</f>
        <v>0</v>
      </c>
      <c r="K29" s="440">
        <f>L29*H29</f>
        <v>100</v>
      </c>
      <c r="L29" s="438">
        <f>G29-J29</f>
        <v>120</v>
      </c>
      <c r="M29" s="440">
        <f>N29*H29</f>
        <v>0</v>
      </c>
      <c r="N29" s="438">
        <v>0</v>
      </c>
      <c r="O29" s="440">
        <f>P29*H29</f>
        <v>100</v>
      </c>
      <c r="P29" s="438">
        <f t="shared" ref="P29" si="15">L29-N29</f>
        <v>120</v>
      </c>
      <c r="Q29" s="438">
        <f>M29-O29</f>
        <v>-100</v>
      </c>
      <c r="R29" s="438">
        <v>3337</v>
      </c>
      <c r="S29" s="437">
        <v>42344</v>
      </c>
      <c r="T29" s="443">
        <f>2*734</f>
        <v>1468</v>
      </c>
      <c r="U29" s="445">
        <v>0</v>
      </c>
      <c r="V29" s="447">
        <v>0</v>
      </c>
      <c r="W29" s="447">
        <v>0</v>
      </c>
      <c r="X29" s="445">
        <v>115.958</v>
      </c>
      <c r="Y29" s="457">
        <v>118.532</v>
      </c>
      <c r="Z29" s="445">
        <f>X29/Y29</f>
        <v>0.97828434515573859</v>
      </c>
      <c r="AA29" s="447">
        <f>H29*T29/100</f>
        <v>12.233333333333334</v>
      </c>
      <c r="AB29" s="447">
        <f>AA29*Z29</f>
        <v>11.96767848907187</v>
      </c>
      <c r="AC29" s="447"/>
      <c r="AD29" s="447"/>
      <c r="AE29" s="447"/>
      <c r="AF29" s="447"/>
      <c r="AG29" s="447"/>
      <c r="AH29" s="447"/>
      <c r="AI29" s="447"/>
      <c r="AJ29" s="447"/>
      <c r="AK29" s="448"/>
      <c r="AL29" s="448"/>
      <c r="AM29" s="448"/>
      <c r="AN29" s="448">
        <v>0</v>
      </c>
      <c r="AO29" s="448">
        <v>0</v>
      </c>
      <c r="AP29" s="448">
        <f>T29</f>
        <v>1468</v>
      </c>
      <c r="AQ29" s="508"/>
      <c r="AR29" s="508"/>
      <c r="AS29" s="460"/>
    </row>
    <row r="30" spans="1:45" s="449" customFormat="1" x14ac:dyDescent="0.2">
      <c r="A30" s="434" t="s">
        <v>113</v>
      </c>
      <c r="B30" s="434" t="s">
        <v>860</v>
      </c>
      <c r="C30" s="450" t="s">
        <v>876</v>
      </c>
      <c r="D30" s="435">
        <v>10</v>
      </c>
      <c r="E30" s="451">
        <v>0.1</v>
      </c>
      <c r="F30" s="437">
        <v>42334</v>
      </c>
      <c r="G30" s="438">
        <v>120</v>
      </c>
      <c r="H30" s="439">
        <f>100/G30</f>
        <v>0.83333333333333337</v>
      </c>
      <c r="I30" s="440">
        <f>H30*J30</f>
        <v>0</v>
      </c>
      <c r="J30" s="438">
        <f>(YEAR(F30)-YEAR(S30))*12+MONTH(F30)-MONTH(S30)</f>
        <v>0</v>
      </c>
      <c r="K30" s="440">
        <f>L30*H30</f>
        <v>100</v>
      </c>
      <c r="L30" s="438">
        <f>G30-J30</f>
        <v>120</v>
      </c>
      <c r="M30" s="440">
        <f>N30*H30</f>
        <v>0.83333333333333337</v>
      </c>
      <c r="N30" s="438">
        <v>1</v>
      </c>
      <c r="O30" s="440">
        <f>P30*H30</f>
        <v>99.166666666666671</v>
      </c>
      <c r="P30" s="438">
        <f t="shared" ref="P30" si="16">L30-N30</f>
        <v>119</v>
      </c>
      <c r="Q30" s="438">
        <f>M30-O30</f>
        <v>-98.333333333333343</v>
      </c>
      <c r="R30" s="438">
        <v>291</v>
      </c>
      <c r="S30" s="437">
        <v>42334</v>
      </c>
      <c r="T30" s="443">
        <v>1049</v>
      </c>
      <c r="U30" s="445">
        <v>0</v>
      </c>
      <c r="V30" s="447">
        <v>0</v>
      </c>
      <c r="W30" s="447">
        <v>118.051</v>
      </c>
      <c r="X30" s="445">
        <v>115.958</v>
      </c>
      <c r="Y30" s="458">
        <v>118.051</v>
      </c>
      <c r="Z30" s="445">
        <f>X30/Y30</f>
        <v>0.98227037466857536</v>
      </c>
      <c r="AA30" s="447">
        <f>H30*T30/100</f>
        <v>8.7416666666666671</v>
      </c>
      <c r="AB30" s="447">
        <f>AA30*Z30</f>
        <v>8.5866801918944642</v>
      </c>
      <c r="AC30" s="447"/>
      <c r="AD30" s="447"/>
      <c r="AE30" s="447"/>
      <c r="AF30" s="447"/>
      <c r="AG30" s="447"/>
      <c r="AH30" s="447"/>
      <c r="AI30" s="447"/>
      <c r="AJ30" s="447"/>
      <c r="AK30" s="448"/>
      <c r="AL30" s="448"/>
      <c r="AM30" s="448"/>
      <c r="AN30" s="448">
        <f>8.59</f>
        <v>8.59</v>
      </c>
      <c r="AO30" s="447">
        <f>SUM(AC30:AN30)</f>
        <v>8.59</v>
      </c>
      <c r="AP30" s="448">
        <f>T30-AO30</f>
        <v>1040.4100000000001</v>
      </c>
      <c r="AQ30" s="22"/>
      <c r="AR30" s="22"/>
    </row>
    <row r="31" spans="1:45" s="22" customFormat="1" x14ac:dyDescent="0.2">
      <c r="A31" s="145" t="s">
        <v>113</v>
      </c>
      <c r="B31" s="145" t="s">
        <v>607</v>
      </c>
      <c r="C31" s="87" t="s">
        <v>459</v>
      </c>
      <c r="D31" s="101">
        <v>10</v>
      </c>
      <c r="E31" s="96">
        <v>0.1</v>
      </c>
      <c r="F31" s="88">
        <v>42185</v>
      </c>
      <c r="G31" s="90">
        <v>120</v>
      </c>
      <c r="H31" s="201">
        <f>100/G31</f>
        <v>0.83333333333333337</v>
      </c>
      <c r="I31" s="233">
        <f>H31*J31</f>
        <v>22.5</v>
      </c>
      <c r="J31" s="90">
        <f>(YEAR(F31)-YEAR(S31))*12+MONTH(F31)-MONTH(S31)</f>
        <v>27</v>
      </c>
      <c r="K31" s="233">
        <f>L31*H31</f>
        <v>77.5</v>
      </c>
      <c r="L31" s="90">
        <f>G31-J31</f>
        <v>93</v>
      </c>
      <c r="M31" s="233">
        <f>N31*H31</f>
        <v>5.8333333333333339</v>
      </c>
      <c r="N31" s="90">
        <v>7</v>
      </c>
      <c r="O31" s="233">
        <f>P31*H31</f>
        <v>71.666666666666671</v>
      </c>
      <c r="P31" s="90">
        <f t="shared" ref="P31" si="17">L31-N31</f>
        <v>86</v>
      </c>
      <c r="Q31" s="90">
        <f>M31-O31</f>
        <v>-65.833333333333343</v>
      </c>
      <c r="R31" s="88" t="s">
        <v>609</v>
      </c>
      <c r="S31" s="88">
        <v>41364</v>
      </c>
      <c r="T31" s="89">
        <v>2099</v>
      </c>
      <c r="U31" s="89">
        <v>1731.69</v>
      </c>
      <c r="V31" s="152">
        <v>87.45</v>
      </c>
      <c r="W31" s="110"/>
      <c r="X31" s="100">
        <v>115.958</v>
      </c>
      <c r="Y31" s="236">
        <v>109.002</v>
      </c>
      <c r="Z31" s="100">
        <f>X31/Y31</f>
        <v>1.0638153428377461</v>
      </c>
      <c r="AA31" s="98">
        <f>U31*M31/100/K31*100/7</f>
        <v>18.620322580645162</v>
      </c>
      <c r="AB31" s="98">
        <f>AA31*Z31</f>
        <v>19.808584849878461</v>
      </c>
      <c r="AC31" s="98"/>
      <c r="AD31" s="98"/>
      <c r="AE31" s="98"/>
      <c r="AF31" s="98"/>
      <c r="AG31" s="98"/>
      <c r="AH31" s="98">
        <f>AB31</f>
        <v>19.808584849878461</v>
      </c>
      <c r="AI31" s="98">
        <v>19.808584849878461</v>
      </c>
      <c r="AJ31" s="98">
        <v>19.808584849878461</v>
      </c>
      <c r="AK31" s="98">
        <v>19.808584849878461</v>
      </c>
      <c r="AL31" s="98">
        <v>19.808584849878461</v>
      </c>
      <c r="AM31" s="98">
        <v>19.808584849878461</v>
      </c>
      <c r="AN31" s="98">
        <v>19.808584849878461</v>
      </c>
      <c r="AO31" s="98">
        <f>SUM(AC31:AN31)</f>
        <v>138.66009394914923</v>
      </c>
      <c r="AP31" s="116">
        <f>U31-AO31</f>
        <v>1593.0299060508507</v>
      </c>
    </row>
    <row r="32" spans="1:45" s="22" customFormat="1" x14ac:dyDescent="0.2">
      <c r="A32" s="172" t="s">
        <v>68</v>
      </c>
      <c r="B32" s="172"/>
      <c r="C32" s="87"/>
      <c r="D32" s="42"/>
      <c r="E32" s="38"/>
      <c r="F32" s="88"/>
      <c r="G32" s="24"/>
      <c r="H32" s="201"/>
      <c r="I32" s="90"/>
      <c r="J32" s="90"/>
      <c r="K32" s="90"/>
      <c r="L32" s="90"/>
      <c r="M32" s="90"/>
      <c r="N32" s="90"/>
      <c r="O32" s="90"/>
      <c r="P32" s="90"/>
      <c r="Q32" s="90"/>
      <c r="R32" s="29"/>
      <c r="S32" s="29"/>
      <c r="T32" s="18"/>
      <c r="U32" s="18"/>
      <c r="V32" s="154"/>
      <c r="W32" s="233">
        <v>0</v>
      </c>
      <c r="X32" s="110"/>
      <c r="Y32" s="237"/>
      <c r="Z32" s="100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116"/>
    </row>
    <row r="33" spans="1:44" s="22" customFormat="1" x14ac:dyDescent="0.2">
      <c r="A33" s="172" t="s">
        <v>469</v>
      </c>
      <c r="B33" s="145"/>
      <c r="C33" s="87"/>
      <c r="D33" s="8"/>
      <c r="E33" s="38"/>
      <c r="F33" s="24"/>
      <c r="G33" s="24"/>
      <c r="H33" s="256"/>
      <c r="I33" s="24"/>
      <c r="J33" s="24"/>
      <c r="K33" s="24"/>
      <c r="L33" s="24"/>
      <c r="M33" s="24"/>
      <c r="N33" s="24"/>
      <c r="O33" s="24"/>
      <c r="P33" s="24"/>
      <c r="Q33" s="24"/>
      <c r="R33" s="29"/>
      <c r="S33" s="29"/>
      <c r="T33" s="18"/>
      <c r="U33" s="18"/>
      <c r="V33" s="154"/>
      <c r="W33" s="110"/>
      <c r="X33" s="110"/>
      <c r="Y33" s="237"/>
      <c r="Z33" s="110"/>
      <c r="AA33" s="109"/>
      <c r="AB33" s="109"/>
      <c r="AC33" s="109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116"/>
    </row>
    <row r="34" spans="1:44" s="22" customFormat="1" x14ac:dyDescent="0.2">
      <c r="A34" s="145" t="s">
        <v>470</v>
      </c>
      <c r="B34" s="145" t="s">
        <v>594</v>
      </c>
      <c r="C34" s="87" t="s">
        <v>467</v>
      </c>
      <c r="D34" s="101">
        <v>10</v>
      </c>
      <c r="E34" s="96">
        <v>0.1</v>
      </c>
      <c r="F34" s="88">
        <v>42185</v>
      </c>
      <c r="G34" s="90">
        <v>120</v>
      </c>
      <c r="H34" s="201">
        <f>100/G34</f>
        <v>0.83333333333333337</v>
      </c>
      <c r="I34" s="233">
        <f>H34*J34</f>
        <v>23.333333333333336</v>
      </c>
      <c r="J34" s="90">
        <f>(YEAR(F34)-YEAR(S34))*12+MONTH(F34)-MONTH(S34)</f>
        <v>28</v>
      </c>
      <c r="K34" s="233">
        <f>L34*H34</f>
        <v>76.666666666666671</v>
      </c>
      <c r="L34" s="90">
        <f>G34-J34</f>
        <v>92</v>
      </c>
      <c r="M34" s="233">
        <f>N34*H34</f>
        <v>5.8333333333333339</v>
      </c>
      <c r="N34" s="90">
        <v>7</v>
      </c>
      <c r="O34" s="233">
        <f>P34*H34</f>
        <v>70.833333333333343</v>
      </c>
      <c r="P34" s="90">
        <f t="shared" ref="P34" si="18">L34-N34</f>
        <v>85</v>
      </c>
      <c r="Q34" s="90">
        <f t="shared" ref="P34:Q37" si="19">M34-O34</f>
        <v>-65.000000000000014</v>
      </c>
      <c r="R34" s="88" t="s">
        <v>608</v>
      </c>
      <c r="S34" s="88">
        <v>41327</v>
      </c>
      <c r="T34" s="89">
        <v>6779</v>
      </c>
      <c r="U34" s="89">
        <v>5253.74</v>
      </c>
      <c r="V34" s="152">
        <v>282.45</v>
      </c>
      <c r="W34" s="110"/>
      <c r="X34" s="100">
        <v>115.958</v>
      </c>
      <c r="Y34" s="236">
        <v>108.208</v>
      </c>
      <c r="Z34" s="100">
        <f>X34/Y34</f>
        <v>1.0716213218985657</v>
      </c>
      <c r="AA34" s="98">
        <f>U34*M34/100/K34*100/7</f>
        <v>57.105869565217397</v>
      </c>
      <c r="AB34" s="98">
        <f>AA34*Z34</f>
        <v>61.19586743164534</v>
      </c>
      <c r="AC34" s="98"/>
      <c r="AD34" s="98"/>
      <c r="AE34" s="98"/>
      <c r="AF34" s="98"/>
      <c r="AG34" s="98"/>
      <c r="AH34" s="98">
        <f>AB34</f>
        <v>61.19586743164534</v>
      </c>
      <c r="AI34" s="98">
        <v>61.19586743164534</v>
      </c>
      <c r="AJ34" s="98">
        <v>61.19586743164534</v>
      </c>
      <c r="AK34" s="98">
        <v>61.19586743164534</v>
      </c>
      <c r="AL34" s="98">
        <v>61.19586743164534</v>
      </c>
      <c r="AM34" s="98">
        <v>61.19586743164534</v>
      </c>
      <c r="AN34" s="98">
        <v>61.19586743164534</v>
      </c>
      <c r="AO34" s="98">
        <f>SUM(AC34:AN34)</f>
        <v>428.37107202151742</v>
      </c>
      <c r="AP34" s="116">
        <f>U34-AO34</f>
        <v>4825.3689279784821</v>
      </c>
    </row>
    <row r="35" spans="1:44" s="22" customFormat="1" x14ac:dyDescent="0.2">
      <c r="A35" s="172" t="s">
        <v>68</v>
      </c>
      <c r="B35" s="172"/>
      <c r="C35" s="87"/>
      <c r="D35" s="42"/>
      <c r="E35" s="38"/>
      <c r="F35" s="88"/>
      <c r="G35" s="24"/>
      <c r="H35" s="201"/>
      <c r="I35" s="233"/>
      <c r="J35" s="90"/>
      <c r="K35" s="233"/>
      <c r="L35" s="90"/>
      <c r="M35" s="233"/>
      <c r="N35" s="90"/>
      <c r="O35" s="233"/>
      <c r="P35" s="90"/>
      <c r="Q35" s="90"/>
      <c r="R35" s="29"/>
      <c r="S35" s="29"/>
      <c r="T35" s="18"/>
      <c r="U35" s="18"/>
      <c r="V35" s="154"/>
      <c r="W35" s="233"/>
      <c r="X35" s="110"/>
      <c r="Y35" s="237"/>
      <c r="Z35" s="100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116"/>
    </row>
    <row r="36" spans="1:44" s="22" customFormat="1" x14ac:dyDescent="0.2">
      <c r="A36" s="172" t="s">
        <v>606</v>
      </c>
      <c r="B36" s="145"/>
      <c r="C36" s="87"/>
      <c r="D36" s="8"/>
      <c r="E36" s="38"/>
      <c r="F36" s="88"/>
      <c r="G36" s="24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29"/>
      <c r="S36" s="29"/>
      <c r="T36" s="18"/>
      <c r="U36" s="18"/>
      <c r="V36" s="154"/>
      <c r="W36" s="110"/>
      <c r="X36" s="110"/>
      <c r="Y36" s="237"/>
      <c r="Z36" s="100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116"/>
    </row>
    <row r="37" spans="1:44" s="22" customFormat="1" x14ac:dyDescent="0.2">
      <c r="A37" s="145" t="s">
        <v>116</v>
      </c>
      <c r="B37" s="145" t="s">
        <v>610</v>
      </c>
      <c r="C37" s="87" t="s">
        <v>459</v>
      </c>
      <c r="D37" s="101">
        <v>10</v>
      </c>
      <c r="E37" s="96">
        <v>0.1</v>
      </c>
      <c r="F37" s="88">
        <v>42185</v>
      </c>
      <c r="G37" s="90">
        <v>120</v>
      </c>
      <c r="H37" s="201">
        <f>100/G37</f>
        <v>0.83333333333333337</v>
      </c>
      <c r="I37" s="233">
        <f>H37*J37</f>
        <v>0</v>
      </c>
      <c r="J37" s="90">
        <f>(YEAR(F37)-YEAR(S37))*12+MONTH(F37)-MONTH(S37)</f>
        <v>0</v>
      </c>
      <c r="K37" s="233">
        <f>L37*H37</f>
        <v>100</v>
      </c>
      <c r="L37" s="90">
        <f>G37-J37</f>
        <v>120</v>
      </c>
      <c r="M37" s="233">
        <f>N37*H37</f>
        <v>5.8333333333333339</v>
      </c>
      <c r="N37" s="90">
        <v>7</v>
      </c>
      <c r="O37" s="233">
        <f>P37*H37</f>
        <v>94.166666666666671</v>
      </c>
      <c r="P37" s="90">
        <f t="shared" si="19"/>
        <v>113</v>
      </c>
      <c r="Q37" s="24"/>
      <c r="R37" s="88" t="s">
        <v>611</v>
      </c>
      <c r="S37" s="88">
        <v>42165</v>
      </c>
      <c r="T37" s="89">
        <v>877</v>
      </c>
      <c r="U37" s="89">
        <v>877</v>
      </c>
      <c r="V37" s="152">
        <v>0</v>
      </c>
      <c r="W37" s="110"/>
      <c r="X37" s="100">
        <v>115.958</v>
      </c>
      <c r="Y37" s="236">
        <v>115.958</v>
      </c>
      <c r="Z37" s="100">
        <f>X37/Y37</f>
        <v>1</v>
      </c>
      <c r="AA37" s="98">
        <f>U37*M37/100/K37*100/7</f>
        <v>7.3083333333333345</v>
      </c>
      <c r="AB37" s="98">
        <f>AA37*Z37</f>
        <v>7.3083333333333345</v>
      </c>
      <c r="AC37" s="98"/>
      <c r="AD37" s="98"/>
      <c r="AE37" s="98"/>
      <c r="AF37" s="98"/>
      <c r="AG37" s="98"/>
      <c r="AH37" s="98">
        <f>AB37</f>
        <v>7.3083333333333345</v>
      </c>
      <c r="AI37" s="98">
        <v>7.3083333333333345</v>
      </c>
      <c r="AJ37" s="98">
        <v>7.3083333333333345</v>
      </c>
      <c r="AK37" s="98">
        <v>7.3083333333333345</v>
      </c>
      <c r="AL37" s="98">
        <v>7.3083333333333345</v>
      </c>
      <c r="AM37" s="98">
        <v>7.3083333333333345</v>
      </c>
      <c r="AN37" s="98">
        <v>7.3083333333333345</v>
      </c>
      <c r="AO37" s="98">
        <f>SUM(AC37:AN37)</f>
        <v>51.158333333333346</v>
      </c>
      <c r="AP37" s="116">
        <f>U37-AO37</f>
        <v>825.8416666666667</v>
      </c>
    </row>
    <row r="38" spans="1:44" s="22" customFormat="1" x14ac:dyDescent="0.2">
      <c r="A38" s="172" t="s">
        <v>68</v>
      </c>
      <c r="B38" s="172"/>
      <c r="C38" s="87"/>
      <c r="D38" s="42"/>
      <c r="E38" s="38"/>
      <c r="F38" s="88"/>
      <c r="G38" s="24"/>
      <c r="H38" s="201"/>
      <c r="I38" s="233"/>
      <c r="J38" s="90"/>
      <c r="K38" s="233"/>
      <c r="L38" s="90"/>
      <c r="M38" s="233"/>
      <c r="N38" s="90"/>
      <c r="O38" s="233"/>
      <c r="P38" s="90"/>
      <c r="Q38" s="90"/>
      <c r="R38" s="29"/>
      <c r="S38" s="29"/>
      <c r="T38" s="18"/>
      <c r="U38" s="18"/>
      <c r="V38" s="154"/>
      <c r="W38" s="233"/>
      <c r="X38" s="110"/>
      <c r="Y38" s="237"/>
      <c r="Z38" s="100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116"/>
    </row>
    <row r="39" spans="1:44" s="22" customFormat="1" x14ac:dyDescent="0.2">
      <c r="A39" s="172" t="s">
        <v>824</v>
      </c>
      <c r="B39" s="145"/>
      <c r="C39" s="87"/>
      <c r="D39" s="8"/>
      <c r="E39" s="38"/>
      <c r="F39" s="88"/>
      <c r="G39" s="24"/>
      <c r="H39" s="201"/>
      <c r="I39" s="233"/>
      <c r="J39" s="90"/>
      <c r="K39" s="233"/>
      <c r="L39" s="90"/>
      <c r="M39" s="233"/>
      <c r="N39" s="90"/>
      <c r="O39" s="233"/>
      <c r="P39" s="90"/>
      <c r="Q39" s="90"/>
      <c r="R39" s="29"/>
      <c r="S39" s="29"/>
      <c r="T39" s="18"/>
      <c r="U39" s="18"/>
      <c r="V39" s="154"/>
      <c r="W39" s="110"/>
      <c r="X39" s="110"/>
      <c r="Y39" s="237"/>
      <c r="Z39" s="100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116"/>
    </row>
    <row r="40" spans="1:44" s="22" customFormat="1" x14ac:dyDescent="0.2">
      <c r="A40" s="388" t="s">
        <v>825</v>
      </c>
      <c r="B40" s="388" t="s">
        <v>826</v>
      </c>
      <c r="C40" s="405" t="s">
        <v>459</v>
      </c>
      <c r="D40" s="389">
        <v>10</v>
      </c>
      <c r="E40" s="406">
        <v>0.1</v>
      </c>
      <c r="F40" s="391">
        <v>42185</v>
      </c>
      <c r="G40" s="392">
        <v>120</v>
      </c>
      <c r="H40" s="393">
        <f>100/G40</f>
        <v>0.83333333333333337</v>
      </c>
      <c r="I40" s="394">
        <f>H40*J40</f>
        <v>-3.3333333333333335</v>
      </c>
      <c r="J40" s="392">
        <f>(YEAR(F40)-YEAR(S40))*12+MONTH(F40)-MONTH(S40)</f>
        <v>-4</v>
      </c>
      <c r="K40" s="394">
        <f>L40*H40</f>
        <v>103.33333333333334</v>
      </c>
      <c r="L40" s="392">
        <f>G40-J40</f>
        <v>124</v>
      </c>
      <c r="M40" s="394">
        <f>N40*H40</f>
        <v>5.8333333333333339</v>
      </c>
      <c r="N40" s="392">
        <v>7</v>
      </c>
      <c r="O40" s="394">
        <f>P40*H40</f>
        <v>97.5</v>
      </c>
      <c r="P40" s="392">
        <f t="shared" ref="P40" si="20">L40-N40</f>
        <v>117</v>
      </c>
      <c r="Q40" s="407"/>
      <c r="R40" s="391" t="s">
        <v>835</v>
      </c>
      <c r="S40" s="391">
        <v>42291</v>
      </c>
      <c r="T40" s="397">
        <v>1299</v>
      </c>
      <c r="U40" s="397">
        <v>0</v>
      </c>
      <c r="V40" s="398">
        <v>0</v>
      </c>
      <c r="W40" s="408"/>
      <c r="X40" s="399">
        <v>115.958</v>
      </c>
      <c r="Y40" s="409">
        <v>118.051</v>
      </c>
      <c r="Z40" s="399">
        <f>X40/Y40</f>
        <v>0.98227037466857536</v>
      </c>
      <c r="AA40" s="401">
        <f>T40*M40/100/K40*100/7</f>
        <v>10.475806451612902</v>
      </c>
      <c r="AB40" s="401">
        <f>AA40*Z40</f>
        <v>10.290074328181284</v>
      </c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1"/>
      <c r="AN40" s="401">
        <v>10.48</v>
      </c>
      <c r="AO40" s="401">
        <f>SUM(AC40:AN40)</f>
        <v>10.48</v>
      </c>
      <c r="AP40" s="402">
        <f>T40-AO40</f>
        <v>1288.52</v>
      </c>
    </row>
    <row r="41" spans="1:44" s="22" customFormat="1" x14ac:dyDescent="0.2">
      <c r="A41" s="388" t="s">
        <v>825</v>
      </c>
      <c r="B41" s="388" t="s">
        <v>826</v>
      </c>
      <c r="C41" s="405" t="s">
        <v>459</v>
      </c>
      <c r="D41" s="389">
        <v>10</v>
      </c>
      <c r="E41" s="406">
        <v>0.1</v>
      </c>
      <c r="F41" s="391">
        <v>42185</v>
      </c>
      <c r="G41" s="392">
        <v>120</v>
      </c>
      <c r="H41" s="393">
        <f>100/G41</f>
        <v>0.83333333333333337</v>
      </c>
      <c r="I41" s="394">
        <f>H41*J41</f>
        <v>-4.166666666666667</v>
      </c>
      <c r="J41" s="392">
        <f>(YEAR(F41)-YEAR(S41))*12+MONTH(F41)-MONTH(S41)</f>
        <v>-5</v>
      </c>
      <c r="K41" s="394">
        <f>L41*H41</f>
        <v>104.16666666666667</v>
      </c>
      <c r="L41" s="392">
        <f>G41-J41</f>
        <v>125</v>
      </c>
      <c r="M41" s="394">
        <f>N41*H41</f>
        <v>5.8333333333333339</v>
      </c>
      <c r="N41" s="392">
        <v>7</v>
      </c>
      <c r="O41" s="394">
        <f>P41*H41</f>
        <v>98.333333333333343</v>
      </c>
      <c r="P41" s="392">
        <f t="shared" ref="P41" si="21">L41-N41</f>
        <v>118</v>
      </c>
      <c r="Q41" s="407"/>
      <c r="R41" s="391" t="s">
        <v>827</v>
      </c>
      <c r="S41" s="391">
        <v>42314</v>
      </c>
      <c r="T41" s="397">
        <v>999</v>
      </c>
      <c r="U41" s="397">
        <v>0</v>
      </c>
      <c r="V41" s="398">
        <v>0</v>
      </c>
      <c r="W41" s="408"/>
      <c r="X41" s="399">
        <v>115.958</v>
      </c>
      <c r="Y41" s="409">
        <v>118.051</v>
      </c>
      <c r="Z41" s="399">
        <f>X41/Y41</f>
        <v>0.98227037466857536</v>
      </c>
      <c r="AA41" s="401">
        <f>T41*M41/100/K41*100/7</f>
        <v>7.992</v>
      </c>
      <c r="AB41" s="401">
        <f>AA41*Z41</f>
        <v>7.8503048343512543</v>
      </c>
      <c r="AC41" s="401"/>
      <c r="AD41" s="401"/>
      <c r="AE41" s="401"/>
      <c r="AF41" s="401"/>
      <c r="AG41" s="401"/>
      <c r="AH41" s="401"/>
      <c r="AI41" s="401"/>
      <c r="AJ41" s="401"/>
      <c r="AK41" s="401"/>
      <c r="AL41" s="401"/>
      <c r="AM41" s="401"/>
      <c r="AN41" s="401">
        <v>7.85</v>
      </c>
      <c r="AO41" s="401">
        <f>SUM(AC41:AN41)</f>
        <v>7.85</v>
      </c>
      <c r="AP41" s="402">
        <f>T41-AO41</f>
        <v>991.15</v>
      </c>
    </row>
    <row r="42" spans="1:44" x14ac:dyDescent="0.2">
      <c r="R42" s="243"/>
      <c r="AB42" s="263"/>
      <c r="AH42" s="263">
        <f t="shared" ref="AH42" si="22">SUM(AH18:AH37)</f>
        <v>147.67670455785276</v>
      </c>
      <c r="AI42" s="372"/>
      <c r="AJ42" s="372"/>
      <c r="AK42" s="372"/>
      <c r="AL42" s="372"/>
      <c r="AM42" s="372"/>
      <c r="AN42" s="372">
        <f>SUM(AN15:AN41)</f>
        <v>435.58670455785278</v>
      </c>
      <c r="AO42" s="372">
        <f t="shared" ref="AO42" si="23">SUM(AO15:AO41)</f>
        <v>1465.2469319049692</v>
      </c>
      <c r="AP42" s="372">
        <f>SUM(AP15:AP41)</f>
        <v>26580.283068095032</v>
      </c>
    </row>
    <row r="43" spans="1:44" s="150" customFormat="1" x14ac:dyDescent="0.2">
      <c r="A43" s="156" t="s">
        <v>460</v>
      </c>
      <c r="B43" s="132"/>
      <c r="C43" s="132"/>
      <c r="D43" s="133"/>
      <c r="E43" s="133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4"/>
      <c r="S43" s="134"/>
      <c r="T43" s="135"/>
      <c r="U43" s="135"/>
      <c r="W43"/>
      <c r="X43"/>
      <c r="Y43" s="121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 s="113"/>
      <c r="AQ43" s="149"/>
      <c r="AR43" s="149"/>
    </row>
    <row r="44" spans="1:44" s="150" customFormat="1" x14ac:dyDescent="0.2">
      <c r="A44" s="14"/>
      <c r="B44"/>
      <c r="C44"/>
      <c r="D44" s="27"/>
      <c r="E44" s="27"/>
      <c r="F44"/>
      <c r="G44"/>
      <c r="H44"/>
      <c r="I44"/>
      <c r="J44"/>
      <c r="K44"/>
      <c r="L44"/>
      <c r="M44"/>
      <c r="N44"/>
      <c r="O44"/>
      <c r="P44"/>
      <c r="Q44"/>
      <c r="R44" s="28"/>
      <c r="S44" s="28"/>
      <c r="T44" s="16"/>
      <c r="U44" s="16"/>
      <c r="W44"/>
      <c r="X44"/>
      <c r="Y44" s="121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 s="113"/>
      <c r="AQ44" s="149"/>
      <c r="AR44" s="149"/>
    </row>
    <row r="45" spans="1:44" ht="30.75" hidden="1" customHeight="1" x14ac:dyDescent="0.2">
      <c r="A45" s="568" t="s">
        <v>613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239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</row>
    <row r="46" spans="1:44" hidden="1" x14ac:dyDescent="0.2">
      <c r="A46" s="568"/>
      <c r="B46" s="568"/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</row>
    <row r="47" spans="1:44" x14ac:dyDescent="0.2">
      <c r="AA47" s="16"/>
      <c r="AO47" s="150"/>
    </row>
    <row r="48" spans="1:44" x14ac:dyDescent="0.2">
      <c r="AN48" s="373">
        <f>AN42-AN41-AN40-AN30-AN29-AN26-AN15</f>
        <v>147.67670455785276</v>
      </c>
    </row>
    <row r="49" spans="22:40" ht="12.75" customHeight="1" x14ac:dyDescent="0.2">
      <c r="V49" s="567" t="s">
        <v>1062</v>
      </c>
      <c r="W49" s="567"/>
      <c r="X49" s="567"/>
      <c r="Y49" s="567"/>
      <c r="Z49" s="567"/>
      <c r="AB49" s="373"/>
      <c r="AN49" s="373">
        <f>SUM(AO15+AO26+AO29+AO30+AO40+AO41)+AN48</f>
        <v>435.58670455785278</v>
      </c>
    </row>
    <row r="50" spans="22:40" x14ac:dyDescent="0.2">
      <c r="V50" s="567"/>
      <c r="W50" s="567"/>
      <c r="X50" s="567"/>
      <c r="Y50" s="567"/>
      <c r="Z50" s="567"/>
    </row>
    <row r="51" spans="22:40" x14ac:dyDescent="0.2">
      <c r="V51" s="567"/>
      <c r="W51" s="567"/>
      <c r="X51" s="567"/>
      <c r="Y51" s="567"/>
      <c r="Z51" s="567"/>
    </row>
    <row r="52" spans="22:40" x14ac:dyDescent="0.2">
      <c r="V52" s="567"/>
      <c r="W52" s="567"/>
      <c r="X52" s="567"/>
      <c r="Y52" s="567"/>
      <c r="Z52" s="567"/>
    </row>
  </sheetData>
  <mergeCells count="26">
    <mergeCell ref="V49:Z52"/>
    <mergeCell ref="A45:X46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N42"/>
  <sheetViews>
    <sheetView topLeftCell="I16" zoomScale="110" zoomScaleNormal="110" workbookViewId="0">
      <selection activeCell="AL2" sqref="AL2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2" width="11.28515625" hidden="1" customWidth="1"/>
    <col min="33" max="37" width="7.7109375" hidden="1" customWidth="1"/>
    <col min="38" max="38" width="7.7109375" customWidth="1"/>
    <col min="39" max="39" width="9.28515625" customWidth="1"/>
    <col min="40" max="40" width="10" style="113" customWidth="1"/>
  </cols>
  <sheetData>
    <row r="1" spans="1:40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7"/>
      <c r="AG1" s="137"/>
      <c r="AH1" s="137"/>
      <c r="AI1" s="137"/>
      <c r="AJ1" s="137"/>
      <c r="AK1" s="137"/>
      <c r="AL1" s="139"/>
      <c r="AM1" s="137"/>
      <c r="AN1" s="141"/>
    </row>
    <row r="2" spans="1:40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7"/>
      <c r="AG2" s="137"/>
      <c r="AH2" s="137"/>
      <c r="AI2" s="137"/>
      <c r="AJ2" s="137"/>
      <c r="AK2" s="137"/>
      <c r="AL2" s="137"/>
      <c r="AM2" s="137"/>
      <c r="AN2" s="141"/>
    </row>
    <row r="3" spans="1:40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7"/>
      <c r="AG3" s="137"/>
      <c r="AH3" s="137"/>
      <c r="AI3" s="137"/>
      <c r="AJ3" s="137"/>
      <c r="AK3" s="137"/>
      <c r="AL3" s="137"/>
      <c r="AM3" s="137"/>
      <c r="AN3" s="141"/>
    </row>
    <row r="4" spans="1:40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7"/>
      <c r="AG4" s="137"/>
      <c r="AH4" s="137"/>
      <c r="AI4" s="137"/>
      <c r="AJ4" s="137"/>
      <c r="AK4" s="137"/>
      <c r="AL4" s="137"/>
      <c r="AM4" s="137"/>
      <c r="AN4" s="141"/>
    </row>
    <row r="5" spans="1:40" x14ac:dyDescent="0.2">
      <c r="A5" s="137"/>
      <c r="B5" s="144" t="s">
        <v>508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7"/>
      <c r="AG5" s="137"/>
      <c r="AH5" s="137"/>
      <c r="AI5" s="137"/>
      <c r="AJ5" s="137"/>
      <c r="AK5" s="137"/>
      <c r="AL5" s="137"/>
      <c r="AM5" s="137"/>
      <c r="AN5" s="141"/>
    </row>
    <row r="6" spans="1:40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7"/>
      <c r="AG6" s="137"/>
      <c r="AH6" s="137"/>
      <c r="AI6" s="137"/>
      <c r="AJ6" s="137"/>
      <c r="AK6" s="137"/>
      <c r="AL6" s="137"/>
      <c r="AM6" s="137"/>
      <c r="AN6" s="141"/>
    </row>
    <row r="7" spans="1:40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7"/>
      <c r="AG7" s="137"/>
      <c r="AH7" s="137"/>
      <c r="AI7" s="137"/>
      <c r="AJ7" s="137"/>
      <c r="AK7" s="137"/>
      <c r="AL7" s="137"/>
      <c r="AM7" s="137"/>
      <c r="AN7" s="141"/>
    </row>
    <row r="8" spans="1:40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N8" s="112"/>
    </row>
    <row r="9" spans="1:40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N9" s="112"/>
    </row>
    <row r="10" spans="1:40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43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</row>
    <row r="11" spans="1:40" ht="54" customHeight="1" x14ac:dyDescent="0.25">
      <c r="A11" s="552" t="s">
        <v>60</v>
      </c>
      <c r="B11" s="552" t="s">
        <v>0</v>
      </c>
      <c r="C11" s="344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45" t="s">
        <v>680</v>
      </c>
      <c r="O11" s="556" t="s">
        <v>643</v>
      </c>
      <c r="P11" s="35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47"/>
      <c r="V11" s="558" t="s">
        <v>746</v>
      </c>
      <c r="W11" s="558" t="s">
        <v>747</v>
      </c>
      <c r="X11" s="346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8</v>
      </c>
      <c r="AG11" s="226" t="s">
        <v>9</v>
      </c>
      <c r="AH11" s="226" t="s">
        <v>10</v>
      </c>
      <c r="AI11" s="226" t="s">
        <v>11</v>
      </c>
      <c r="AJ11" s="226" t="s">
        <v>12</v>
      </c>
      <c r="AK11" s="226" t="s">
        <v>13</v>
      </c>
      <c r="AL11" s="226" t="s">
        <v>14</v>
      </c>
      <c r="AM11" s="264" t="s">
        <v>682</v>
      </c>
      <c r="AN11" s="228" t="s">
        <v>66</v>
      </c>
    </row>
    <row r="12" spans="1:40" ht="32.25" customHeight="1" x14ac:dyDescent="0.25">
      <c r="A12" s="553"/>
      <c r="B12" s="553"/>
      <c r="C12" s="229" t="s">
        <v>508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48"/>
      <c r="V12" s="569"/>
      <c r="W12" s="569"/>
      <c r="X12" s="349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 t="s">
        <v>67</v>
      </c>
    </row>
    <row r="13" spans="1:40" s="22" customFormat="1" x14ac:dyDescent="0.2">
      <c r="A13" s="41" t="s">
        <v>174</v>
      </c>
      <c r="B13" s="41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17"/>
    </row>
    <row r="14" spans="1:40" s="22" customFormat="1" x14ac:dyDescent="0.2">
      <c r="A14" s="41" t="s">
        <v>152</v>
      </c>
      <c r="B14" s="54"/>
      <c r="C14" s="8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17"/>
    </row>
    <row r="15" spans="1:40" s="22" customFormat="1" x14ac:dyDescent="0.2">
      <c r="A15" s="29" t="s">
        <v>175</v>
      </c>
      <c r="B15" s="13" t="s">
        <v>176</v>
      </c>
      <c r="C15" s="87" t="s">
        <v>508</v>
      </c>
      <c r="D15" s="24">
        <v>3</v>
      </c>
      <c r="E15" s="48">
        <v>0.33329999999999999</v>
      </c>
      <c r="F15" s="88">
        <v>42185</v>
      </c>
      <c r="G15" s="101">
        <v>36</v>
      </c>
      <c r="H15" s="201">
        <f>100/G15</f>
        <v>2.7777777777777777</v>
      </c>
      <c r="I15" s="233">
        <f t="shared" ref="I15" si="0">H15*J15</f>
        <v>83.333333333333329</v>
      </c>
      <c r="J15" s="90">
        <f>(YEAR(F15)-YEAR(S15))*12+MONTH(F15)-MONTH(S15)</f>
        <v>30</v>
      </c>
      <c r="K15" s="233">
        <f>L15*H15</f>
        <v>16.666666666666664</v>
      </c>
      <c r="L15" s="90">
        <f>G15-J15</f>
        <v>6</v>
      </c>
      <c r="M15" s="233">
        <f>N15*H15</f>
        <v>16.666666666666664</v>
      </c>
      <c r="N15" s="90">
        <v>6</v>
      </c>
      <c r="O15" s="233">
        <f t="shared" ref="O15:Q15" si="1">K15-M15</f>
        <v>0</v>
      </c>
      <c r="P15" s="90">
        <f t="shared" si="1"/>
        <v>0</v>
      </c>
      <c r="Q15" s="90">
        <f t="shared" si="1"/>
        <v>16.666666666666664</v>
      </c>
      <c r="R15" s="179" t="s">
        <v>507</v>
      </c>
      <c r="S15" s="182">
        <v>41256</v>
      </c>
      <c r="T15" s="9">
        <v>26913.06</v>
      </c>
      <c r="U15" s="116">
        <v>140.46</v>
      </c>
      <c r="V15" s="222">
        <v>8970.1209660000004</v>
      </c>
      <c r="W15" s="222">
        <v>8972.8161360000031</v>
      </c>
      <c r="X15" s="98">
        <v>747.51</v>
      </c>
      <c r="Y15" s="152">
        <f>X15*5</f>
        <v>3737.55</v>
      </c>
      <c r="Z15" s="341">
        <f>W15-Y15</f>
        <v>5235.2661360000029</v>
      </c>
      <c r="AA15" s="100">
        <v>115.958</v>
      </c>
      <c r="AB15" s="201">
        <v>107.246</v>
      </c>
      <c r="AC15" s="100">
        <f>AA15/AB15</f>
        <v>1.0812337989295639</v>
      </c>
      <c r="AD15" s="98">
        <f>Z15*M15/100/K15*100/7</f>
        <v>747.89516228571483</v>
      </c>
      <c r="AE15" s="98">
        <f>AD15*AC15</f>
        <v>808.64952751922624</v>
      </c>
      <c r="AF15" s="98">
        <f>AE15</f>
        <v>808.64952751922624</v>
      </c>
      <c r="AG15" s="98">
        <v>808.64952751922624</v>
      </c>
      <c r="AH15" s="98">
        <v>808.64952751922624</v>
      </c>
      <c r="AI15" s="98">
        <v>808.64952751922624</v>
      </c>
      <c r="AJ15" s="98">
        <v>808.64952751922624</v>
      </c>
      <c r="AK15" s="98">
        <v>808.64952751922624</v>
      </c>
      <c r="AL15" s="98">
        <v>382.37</v>
      </c>
      <c r="AM15" s="98">
        <f>SUM(AF15:AL15)</f>
        <v>5234.2671651153578</v>
      </c>
      <c r="AN15" s="116">
        <f>Z15-AM15</f>
        <v>0.99897088464513217</v>
      </c>
    </row>
    <row r="16" spans="1:40" s="22" customFormat="1" ht="13.5" x14ac:dyDescent="0.25">
      <c r="A16" s="41" t="s">
        <v>177</v>
      </c>
      <c r="B16" s="41"/>
      <c r="C16" s="87"/>
      <c r="D16" s="24"/>
      <c r="E16" s="51"/>
      <c r="F16" s="29"/>
      <c r="G16" s="101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9"/>
      <c r="S16" s="207"/>
      <c r="T16" s="165"/>
      <c r="U16" s="116"/>
      <c r="V16" s="222"/>
      <c r="W16" s="222"/>
      <c r="X16" s="98"/>
      <c r="Y16" s="152"/>
      <c r="Z16" s="341"/>
      <c r="AA16" s="100"/>
      <c r="AB16" s="201"/>
      <c r="AC16" s="100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116"/>
    </row>
    <row r="17" spans="1:40" s="22" customFormat="1" ht="13.5" x14ac:dyDescent="0.25">
      <c r="A17" s="41" t="s">
        <v>178</v>
      </c>
      <c r="B17" s="54"/>
      <c r="C17" s="87"/>
      <c r="D17" s="24"/>
      <c r="E17" s="51"/>
      <c r="F17" s="29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9"/>
      <c r="S17" s="207"/>
      <c r="T17" s="165"/>
      <c r="U17" s="116"/>
      <c r="V17" s="222"/>
      <c r="W17" s="222"/>
      <c r="X17" s="98"/>
      <c r="Y17" s="152"/>
      <c r="Z17" s="341"/>
      <c r="AA17" s="100"/>
      <c r="AB17" s="201"/>
      <c r="AC17" s="100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116"/>
    </row>
    <row r="18" spans="1:40" s="22" customFormat="1" x14ac:dyDescent="0.2">
      <c r="A18" s="29" t="s">
        <v>179</v>
      </c>
      <c r="B18" s="13" t="s">
        <v>180</v>
      </c>
      <c r="C18" s="87" t="s">
        <v>508</v>
      </c>
      <c r="D18" s="24">
        <v>3</v>
      </c>
      <c r="E18" s="48">
        <v>0.33329999999999999</v>
      </c>
      <c r="F18" s="88">
        <v>42185</v>
      </c>
      <c r="G18" s="101">
        <v>36</v>
      </c>
      <c r="H18" s="201">
        <f>100/G18</f>
        <v>2.7777777777777777</v>
      </c>
      <c r="I18" s="233">
        <f t="shared" ref="I18" si="2">H18*J18</f>
        <v>83.333333333333329</v>
      </c>
      <c r="J18" s="90">
        <f>(YEAR(F18)-YEAR(S18))*12+MONTH(F18)-MONTH(S18)</f>
        <v>30</v>
      </c>
      <c r="K18" s="233">
        <f>L18*H18</f>
        <v>16.666666666666664</v>
      </c>
      <c r="L18" s="90">
        <f>G18-J18</f>
        <v>6</v>
      </c>
      <c r="M18" s="233">
        <f>N18*H18</f>
        <v>16.666666666666664</v>
      </c>
      <c r="N18" s="90">
        <v>6</v>
      </c>
      <c r="O18" s="233">
        <f t="shared" ref="O18" si="3">K18-M18</f>
        <v>0</v>
      </c>
      <c r="P18" s="90">
        <f t="shared" ref="P18" si="4">L18-N18</f>
        <v>0</v>
      </c>
      <c r="Q18" s="90">
        <f t="shared" ref="Q18" si="5">M18-O18</f>
        <v>16.666666666666664</v>
      </c>
      <c r="R18" s="179" t="s">
        <v>507</v>
      </c>
      <c r="S18" s="182">
        <v>41256</v>
      </c>
      <c r="T18" s="9">
        <v>1590</v>
      </c>
      <c r="U18" s="116">
        <v>270.45</v>
      </c>
      <c r="V18" s="222">
        <v>529.92899999999986</v>
      </c>
      <c r="W18" s="222">
        <v>530.12400000000002</v>
      </c>
      <c r="X18" s="98">
        <v>44.16</v>
      </c>
      <c r="Y18" s="152">
        <f>X18*5</f>
        <v>220.79999999999998</v>
      </c>
      <c r="Z18" s="341">
        <f>W18-Y18</f>
        <v>309.32400000000007</v>
      </c>
      <c r="AA18" s="100">
        <v>115.958</v>
      </c>
      <c r="AB18" s="201">
        <v>107.246</v>
      </c>
      <c r="AC18" s="100">
        <f>AA18/AB18</f>
        <v>1.0812337989295639</v>
      </c>
      <c r="AD18" s="98">
        <f>Z18*M18/100/K18*100/7</f>
        <v>44.189142857142869</v>
      </c>
      <c r="AE18" s="98">
        <f>AD18*AC18</f>
        <v>47.77879480286979</v>
      </c>
      <c r="AF18" s="98">
        <f>AE18</f>
        <v>47.77879480286979</v>
      </c>
      <c r="AG18" s="98">
        <v>47.77879480286979</v>
      </c>
      <c r="AH18" s="98">
        <v>47.77879480286979</v>
      </c>
      <c r="AI18" s="98">
        <v>47.77879480286979</v>
      </c>
      <c r="AJ18" s="98">
        <v>47.77879480286979</v>
      </c>
      <c r="AK18" s="98">
        <v>47.77879480286979</v>
      </c>
      <c r="AL18" s="98">
        <v>21.65</v>
      </c>
      <c r="AM18" s="98">
        <f>SUM(AF18:AL18)</f>
        <v>308.32276881721873</v>
      </c>
      <c r="AN18" s="116">
        <f>Z18-AM18</f>
        <v>1.0012311827813392</v>
      </c>
    </row>
    <row r="19" spans="1:40" s="22" customFormat="1" x14ac:dyDescent="0.2">
      <c r="A19" s="41" t="s">
        <v>151</v>
      </c>
      <c r="B19" s="41"/>
      <c r="C19" s="87"/>
      <c r="D19" s="24"/>
      <c r="E19" s="48"/>
      <c r="F19" s="29"/>
      <c r="G19" s="101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179"/>
      <c r="S19" s="52"/>
      <c r="T19" s="9"/>
      <c r="U19" s="116"/>
      <c r="V19" s="222"/>
      <c r="W19" s="222"/>
      <c r="X19" s="98"/>
      <c r="Y19" s="152"/>
      <c r="Z19" s="341"/>
      <c r="AA19" s="100"/>
      <c r="AB19" s="125"/>
      <c r="AC19" s="100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116"/>
    </row>
    <row r="20" spans="1:40" s="22" customFormat="1" x14ac:dyDescent="0.2">
      <c r="A20" s="41" t="s">
        <v>184</v>
      </c>
      <c r="B20" s="13"/>
      <c r="C20" s="87"/>
      <c r="D20" s="24"/>
      <c r="E20" s="48"/>
      <c r="F20" s="29"/>
      <c r="G20" s="12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179"/>
      <c r="S20" s="52"/>
      <c r="T20" s="9"/>
      <c r="U20" s="116"/>
      <c r="V20" s="222"/>
      <c r="W20" s="222"/>
      <c r="X20" s="98"/>
      <c r="Y20" s="152"/>
      <c r="Z20" s="341"/>
      <c r="AA20" s="100"/>
      <c r="AB20" s="125"/>
      <c r="AC20" s="100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116"/>
    </row>
    <row r="21" spans="1:40" s="22" customFormat="1" x14ac:dyDescent="0.2">
      <c r="A21" s="29" t="s">
        <v>181</v>
      </c>
      <c r="B21" s="13" t="s">
        <v>33</v>
      </c>
      <c r="C21" s="87" t="s">
        <v>508</v>
      </c>
      <c r="D21" s="24">
        <v>10</v>
      </c>
      <c r="E21" s="48">
        <v>0.1</v>
      </c>
      <c r="F21" s="88">
        <v>42185</v>
      </c>
      <c r="G21" s="101">
        <v>120</v>
      </c>
      <c r="H21" s="201">
        <f>100/G21</f>
        <v>0.83333333333333337</v>
      </c>
      <c r="I21" s="233">
        <f t="shared" ref="I21" si="6">H21*J21</f>
        <v>25</v>
      </c>
      <c r="J21" s="90">
        <f>(YEAR(F21)-YEAR(S21))*12+MONTH(F21)-MONTH(S21)</f>
        <v>30</v>
      </c>
      <c r="K21" s="233">
        <f>L21*H21</f>
        <v>75</v>
      </c>
      <c r="L21" s="90">
        <f>G21-J21</f>
        <v>90</v>
      </c>
      <c r="M21" s="233">
        <f>N21*H21</f>
        <v>5.8333333333333339</v>
      </c>
      <c r="N21" s="90">
        <v>7</v>
      </c>
      <c r="O21" s="233">
        <f t="shared" ref="O21:Q21" si="7">K21-M21</f>
        <v>69.166666666666671</v>
      </c>
      <c r="P21" s="90">
        <f t="shared" si="7"/>
        <v>83</v>
      </c>
      <c r="Q21" s="90">
        <f t="shared" si="7"/>
        <v>-63.333333333333336</v>
      </c>
      <c r="R21" s="179" t="s">
        <v>507</v>
      </c>
      <c r="S21" s="182">
        <v>41256</v>
      </c>
      <c r="T21" s="9">
        <v>1170</v>
      </c>
      <c r="U21" s="116">
        <v>18.420000000000002</v>
      </c>
      <c r="V21" s="222">
        <v>117</v>
      </c>
      <c r="W21" s="222">
        <v>936</v>
      </c>
      <c r="X21" s="98">
        <v>9.75</v>
      </c>
      <c r="Y21" s="152">
        <f>X21*5</f>
        <v>48.75</v>
      </c>
      <c r="Z21" s="341">
        <f>W21-Y21</f>
        <v>887.25</v>
      </c>
      <c r="AA21" s="100">
        <v>115.958</v>
      </c>
      <c r="AB21" s="201">
        <v>107.246</v>
      </c>
      <c r="AC21" s="100">
        <f>AA21/AB21</f>
        <v>1.0812337989295639</v>
      </c>
      <c r="AD21" s="98">
        <f>Z21*M21/100/K21*100/7</f>
        <v>9.8583333333333361</v>
      </c>
      <c r="AE21" s="98">
        <f>AD21*AC21</f>
        <v>10.659163201113953</v>
      </c>
      <c r="AF21" s="98">
        <f>AE21</f>
        <v>10.659163201113953</v>
      </c>
      <c r="AG21" s="98">
        <v>10.659163201113953</v>
      </c>
      <c r="AH21" s="98">
        <v>10.659163201113953</v>
      </c>
      <c r="AI21" s="98">
        <v>10.659163201113953</v>
      </c>
      <c r="AJ21" s="98">
        <v>10.659163201113953</v>
      </c>
      <c r="AK21" s="98">
        <v>10.659163201113953</v>
      </c>
      <c r="AL21" s="98">
        <v>10.659163201113953</v>
      </c>
      <c r="AM21" s="98">
        <f>SUM(AF21:AL21)</f>
        <v>74.614142407797672</v>
      </c>
      <c r="AN21" s="116">
        <f>Z21-AM21</f>
        <v>812.63585759220234</v>
      </c>
    </row>
    <row r="22" spans="1:40" s="22" customFormat="1" x14ac:dyDescent="0.2">
      <c r="A22" s="29" t="s">
        <v>182</v>
      </c>
      <c r="B22" s="13" t="s">
        <v>176</v>
      </c>
      <c r="C22" s="87" t="s">
        <v>508</v>
      </c>
      <c r="D22" s="24">
        <v>10</v>
      </c>
      <c r="E22" s="48">
        <v>0.1</v>
      </c>
      <c r="F22" s="88">
        <v>42185</v>
      </c>
      <c r="G22" s="101">
        <v>120</v>
      </c>
      <c r="H22" s="201">
        <f>100/G22</f>
        <v>0.83333333333333337</v>
      </c>
      <c r="I22" s="233">
        <f t="shared" ref="I22" si="8">H22*J22</f>
        <v>25</v>
      </c>
      <c r="J22" s="90">
        <f>(YEAR(F22)-YEAR(S22))*12+MONTH(F22)-MONTH(S22)</f>
        <v>30</v>
      </c>
      <c r="K22" s="233">
        <f>L22*H22</f>
        <v>75</v>
      </c>
      <c r="L22" s="90">
        <f>G22-J22</f>
        <v>90</v>
      </c>
      <c r="M22" s="233">
        <f>N22*H22</f>
        <v>5.8333333333333339</v>
      </c>
      <c r="N22" s="90">
        <v>7</v>
      </c>
      <c r="O22" s="233">
        <f t="shared" ref="O22" si="9">K22-M22</f>
        <v>69.166666666666671</v>
      </c>
      <c r="P22" s="90">
        <f t="shared" ref="P22" si="10">L22-N22</f>
        <v>83</v>
      </c>
      <c r="Q22" s="90">
        <f t="shared" ref="Q22" si="11">M22-O22</f>
        <v>-63.333333333333336</v>
      </c>
      <c r="R22" s="179" t="s">
        <v>507</v>
      </c>
      <c r="S22" s="182">
        <v>41256</v>
      </c>
      <c r="T22" s="9">
        <v>850</v>
      </c>
      <c r="U22" s="116">
        <v>18.420000000000002</v>
      </c>
      <c r="V22" s="222">
        <v>84.973333333333329</v>
      </c>
      <c r="W22" s="222">
        <v>680.02666666666664</v>
      </c>
      <c r="X22" s="98">
        <v>7.08</v>
      </c>
      <c r="Y22" s="152">
        <f>X22*5</f>
        <v>35.4</v>
      </c>
      <c r="Z22" s="341">
        <f>W22-Y22</f>
        <v>644.62666666666667</v>
      </c>
      <c r="AA22" s="100">
        <v>115.958</v>
      </c>
      <c r="AB22" s="201">
        <v>107.246</v>
      </c>
      <c r="AC22" s="100">
        <f>AA22/AB22</f>
        <v>1.0812337989295639</v>
      </c>
      <c r="AD22" s="98">
        <f>Z22*M22/100/K22*100/7</f>
        <v>7.1625185185185201</v>
      </c>
      <c r="AE22" s="98">
        <f>AD22*AC22</f>
        <v>7.7443571076811315</v>
      </c>
      <c r="AF22" s="98">
        <f>AE22</f>
        <v>7.7443571076811315</v>
      </c>
      <c r="AG22" s="98">
        <v>7.7443571076811315</v>
      </c>
      <c r="AH22" s="98">
        <v>7.7443571076811315</v>
      </c>
      <c r="AI22" s="98">
        <v>7.7443571076811315</v>
      </c>
      <c r="AJ22" s="98">
        <v>7.7443571076811315</v>
      </c>
      <c r="AK22" s="98">
        <v>7.7443571076811315</v>
      </c>
      <c r="AL22" s="98">
        <v>7.7443571076811315</v>
      </c>
      <c r="AM22" s="98">
        <f>SUM(AF22:AL22)</f>
        <v>54.21049975376792</v>
      </c>
      <c r="AN22" s="116">
        <f>Z22-AM22</f>
        <v>590.41616691289869</v>
      </c>
    </row>
    <row r="23" spans="1:40" s="22" customFormat="1" x14ac:dyDescent="0.2">
      <c r="A23" s="41" t="s">
        <v>187</v>
      </c>
      <c r="B23" s="41"/>
      <c r="C23" s="87"/>
      <c r="D23" s="24"/>
      <c r="E23" s="48"/>
      <c r="F23" s="29"/>
      <c r="G23" s="101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179"/>
      <c r="S23" s="52"/>
      <c r="T23" s="9"/>
      <c r="U23" s="116"/>
      <c r="V23" s="222"/>
      <c r="W23" s="222"/>
      <c r="X23" s="98"/>
      <c r="Y23" s="152"/>
      <c r="Z23" s="341"/>
      <c r="AA23" s="100"/>
      <c r="AB23" s="100"/>
      <c r="AC23" s="100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16"/>
    </row>
    <row r="24" spans="1:40" s="22" customFormat="1" x14ac:dyDescent="0.2">
      <c r="A24" s="41" t="s">
        <v>188</v>
      </c>
      <c r="B24" s="13"/>
      <c r="C24" s="87"/>
      <c r="D24" s="24"/>
      <c r="E24" s="48"/>
      <c r="F24" s="29"/>
      <c r="G24" s="101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52"/>
      <c r="T24" s="9"/>
      <c r="U24" s="116"/>
      <c r="V24" s="222"/>
      <c r="W24" s="222"/>
      <c r="X24" s="98"/>
      <c r="Y24" s="152"/>
      <c r="Z24" s="341"/>
      <c r="AA24" s="100"/>
      <c r="AB24" s="100"/>
      <c r="AC24" s="100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116"/>
    </row>
    <row r="25" spans="1:40" s="22" customFormat="1" x14ac:dyDescent="0.2">
      <c r="A25" s="29" t="s">
        <v>185</v>
      </c>
      <c r="B25" s="13" t="s">
        <v>186</v>
      </c>
      <c r="C25" s="87" t="s">
        <v>508</v>
      </c>
      <c r="D25" s="24">
        <v>10</v>
      </c>
      <c r="E25" s="48">
        <v>0.1</v>
      </c>
      <c r="F25" s="88">
        <v>42185</v>
      </c>
      <c r="G25" s="101">
        <v>120</v>
      </c>
      <c r="H25" s="201">
        <f>100/G25</f>
        <v>0.83333333333333337</v>
      </c>
      <c r="I25" s="233">
        <f t="shared" ref="I25" si="12">H25*J25</f>
        <v>25</v>
      </c>
      <c r="J25" s="90">
        <f>(YEAR(F25)-YEAR(S25))*12+MONTH(F25)-MONTH(S25)</f>
        <v>30</v>
      </c>
      <c r="K25" s="233">
        <f>L25*H25</f>
        <v>75</v>
      </c>
      <c r="L25" s="90">
        <f>G25-J25</f>
        <v>90</v>
      </c>
      <c r="M25" s="233">
        <f>N25*H25</f>
        <v>5.8333333333333339</v>
      </c>
      <c r="N25" s="90">
        <v>7</v>
      </c>
      <c r="O25" s="233">
        <f t="shared" ref="O25:Q25" si="13">K25-M25</f>
        <v>69.166666666666671</v>
      </c>
      <c r="P25" s="90">
        <f t="shared" si="13"/>
        <v>83</v>
      </c>
      <c r="Q25" s="90">
        <f t="shared" si="13"/>
        <v>-63.333333333333336</v>
      </c>
      <c r="R25" s="179" t="s">
        <v>507</v>
      </c>
      <c r="S25" s="182">
        <v>41256</v>
      </c>
      <c r="T25" s="9">
        <v>339</v>
      </c>
      <c r="U25" s="116">
        <v>18.420000000000002</v>
      </c>
      <c r="V25" s="222">
        <v>33.944999999999993</v>
      </c>
      <c r="W25" s="222">
        <v>271.15500000000003</v>
      </c>
      <c r="X25" s="98">
        <v>2.83</v>
      </c>
      <c r="Y25" s="152">
        <f>X25*5</f>
        <v>14.15</v>
      </c>
      <c r="Z25" s="341">
        <f>W25-Y25</f>
        <v>257.00500000000005</v>
      </c>
      <c r="AA25" s="100">
        <v>115.958</v>
      </c>
      <c r="AB25" s="201">
        <v>107.246</v>
      </c>
      <c r="AC25" s="100">
        <f>AA25/AB25</f>
        <v>1.0812337989295639</v>
      </c>
      <c r="AD25" s="98">
        <f>Z25*M25/100/K25*100/7</f>
        <v>2.855611111111112</v>
      </c>
      <c r="AE25" s="98">
        <f>AD25*AC25</f>
        <v>3.0875832499321407</v>
      </c>
      <c r="AF25" s="98">
        <f>AE25</f>
        <v>3.0875832499321407</v>
      </c>
      <c r="AG25" s="98">
        <v>3.0875832499321407</v>
      </c>
      <c r="AH25" s="98">
        <v>3.0875832499321407</v>
      </c>
      <c r="AI25" s="98">
        <v>3.0875832499321407</v>
      </c>
      <c r="AJ25" s="98">
        <v>3.0875832499321407</v>
      </c>
      <c r="AK25" s="98">
        <v>3.0875832499321407</v>
      </c>
      <c r="AL25" s="98">
        <v>3.0875832499321407</v>
      </c>
      <c r="AM25" s="98">
        <f>SUM(AF25:AL25)</f>
        <v>21.613082749524985</v>
      </c>
      <c r="AN25" s="116">
        <f>Z25-AM25</f>
        <v>235.39191725047507</v>
      </c>
    </row>
    <row r="26" spans="1:40" s="22" customFormat="1" ht="13.5" x14ac:dyDescent="0.25">
      <c r="A26" s="41" t="s">
        <v>151</v>
      </c>
      <c r="B26" s="41"/>
      <c r="C26" s="87"/>
      <c r="D26" s="24"/>
      <c r="E26" s="48"/>
      <c r="F26" s="15"/>
      <c r="G26" s="101"/>
      <c r="H26" s="201"/>
      <c r="I26" s="233"/>
      <c r="J26" s="90"/>
      <c r="K26" s="233"/>
      <c r="L26" s="90"/>
      <c r="M26" s="233"/>
      <c r="N26" s="90"/>
      <c r="O26" s="233"/>
      <c r="P26" s="90"/>
      <c r="Q26" s="90"/>
      <c r="R26" s="179"/>
      <c r="S26" s="52"/>
      <c r="T26" s="9"/>
      <c r="U26" s="116"/>
      <c r="V26" s="222"/>
      <c r="W26" s="222"/>
      <c r="X26" s="98"/>
      <c r="Y26" s="152"/>
      <c r="Z26" s="341"/>
      <c r="AA26" s="100"/>
      <c r="AB26" s="125"/>
      <c r="AC26" s="100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116"/>
    </row>
    <row r="27" spans="1:40" s="22" customFormat="1" x14ac:dyDescent="0.2">
      <c r="A27" s="41" t="s">
        <v>189</v>
      </c>
      <c r="B27" s="13"/>
      <c r="C27" s="87"/>
      <c r="D27" s="24"/>
      <c r="E27" s="48"/>
      <c r="F27" s="29"/>
      <c r="G27" s="101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9"/>
      <c r="S27" s="52"/>
      <c r="T27" s="9"/>
      <c r="U27" s="116"/>
      <c r="V27" s="222"/>
      <c r="W27" s="222"/>
      <c r="X27" s="98"/>
      <c r="Y27" s="152"/>
      <c r="Z27" s="341"/>
      <c r="AA27" s="100"/>
      <c r="AB27" s="125"/>
      <c r="AC27" s="100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116"/>
    </row>
    <row r="28" spans="1:40" s="22" customFormat="1" x14ac:dyDescent="0.2">
      <c r="A28" s="29" t="s">
        <v>191</v>
      </c>
      <c r="B28" s="13" t="s">
        <v>190</v>
      </c>
      <c r="C28" s="87" t="s">
        <v>508</v>
      </c>
      <c r="D28" s="24">
        <v>10</v>
      </c>
      <c r="E28" s="48">
        <v>0.1</v>
      </c>
      <c r="F28" s="88">
        <v>42185</v>
      </c>
      <c r="G28" s="101">
        <v>120</v>
      </c>
      <c r="H28" s="201">
        <f>100/G28</f>
        <v>0.83333333333333337</v>
      </c>
      <c r="I28" s="233">
        <f t="shared" ref="I28" si="14">H28*J28</f>
        <v>25</v>
      </c>
      <c r="J28" s="90">
        <f>(YEAR(F28)-YEAR(S28))*12+MONTH(F28)-MONTH(S28)</f>
        <v>30</v>
      </c>
      <c r="K28" s="233">
        <f>L28*H28</f>
        <v>75</v>
      </c>
      <c r="L28" s="90">
        <f>G28-J28</f>
        <v>90</v>
      </c>
      <c r="M28" s="233">
        <f>N28*H28</f>
        <v>5.8333333333333339</v>
      </c>
      <c r="N28" s="90">
        <v>7</v>
      </c>
      <c r="O28" s="233">
        <f t="shared" ref="O28:Q28" si="15">K28-M28</f>
        <v>69.166666666666671</v>
      </c>
      <c r="P28" s="90">
        <f t="shared" si="15"/>
        <v>83</v>
      </c>
      <c r="Q28" s="90">
        <f t="shared" si="15"/>
        <v>-63.333333333333336</v>
      </c>
      <c r="R28" s="179" t="s">
        <v>507</v>
      </c>
      <c r="S28" s="182">
        <v>41256</v>
      </c>
      <c r="T28" s="9">
        <v>480</v>
      </c>
      <c r="U28" s="116">
        <v>18.420000000000002</v>
      </c>
      <c r="V28" s="222">
        <v>48</v>
      </c>
      <c r="W28" s="222">
        <v>384</v>
      </c>
      <c r="X28" s="98">
        <v>4</v>
      </c>
      <c r="Y28" s="152">
        <f>X28*5</f>
        <v>20</v>
      </c>
      <c r="Z28" s="341">
        <f>W28-Y28</f>
        <v>364</v>
      </c>
      <c r="AA28" s="100">
        <v>115.958</v>
      </c>
      <c r="AB28" s="201">
        <v>107.246</v>
      </c>
      <c r="AC28" s="100">
        <f>AA28/AB28</f>
        <v>1.0812337989295639</v>
      </c>
      <c r="AD28" s="98">
        <f>Z28*M28/100/K28*100/7</f>
        <v>4.0444444444444452</v>
      </c>
      <c r="AE28" s="98">
        <f>AD28*AC28</f>
        <v>4.3729900312262373</v>
      </c>
      <c r="AF28" s="98">
        <f>AE28</f>
        <v>4.3729900312262373</v>
      </c>
      <c r="AG28" s="98">
        <v>4.3729900312262373</v>
      </c>
      <c r="AH28" s="98">
        <v>4.3729900312262373</v>
      </c>
      <c r="AI28" s="98">
        <v>4.3729900312262373</v>
      </c>
      <c r="AJ28" s="98">
        <v>4.3729900312262373</v>
      </c>
      <c r="AK28" s="98">
        <v>4.3729900312262373</v>
      </c>
      <c r="AL28" s="98">
        <v>4.3729900312262373</v>
      </c>
      <c r="AM28" s="98">
        <f>SUM(AF28:AL28)</f>
        <v>30.610930218583661</v>
      </c>
      <c r="AN28" s="116">
        <f>Z28-AM28</f>
        <v>333.38906978141631</v>
      </c>
    </row>
    <row r="29" spans="1:40" s="22" customFormat="1" x14ac:dyDescent="0.2">
      <c r="A29" s="41" t="s">
        <v>187</v>
      </c>
      <c r="B29" s="41"/>
      <c r="C29" s="87"/>
      <c r="D29" s="24"/>
      <c r="E29" s="38"/>
      <c r="F29" s="30"/>
      <c r="G29" s="12"/>
      <c r="H29" s="201"/>
      <c r="I29" s="233"/>
      <c r="J29" s="90"/>
      <c r="K29" s="233"/>
      <c r="L29" s="90"/>
      <c r="M29" s="233"/>
      <c r="N29" s="90"/>
      <c r="O29" s="233"/>
      <c r="P29" s="90"/>
      <c r="Q29" s="90"/>
      <c r="R29" s="88"/>
      <c r="S29" s="29"/>
      <c r="T29" s="9"/>
      <c r="U29" s="116"/>
      <c r="V29" s="222"/>
      <c r="W29" s="222"/>
      <c r="X29" s="98"/>
      <c r="Y29" s="152"/>
      <c r="Z29" s="341"/>
      <c r="AA29" s="100"/>
      <c r="AB29" s="125"/>
      <c r="AC29" s="100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16"/>
    </row>
    <row r="30" spans="1:40" s="22" customFormat="1" x14ac:dyDescent="0.2">
      <c r="A30" s="41" t="s">
        <v>192</v>
      </c>
      <c r="B30" s="13"/>
      <c r="C30" s="87"/>
      <c r="D30" s="208"/>
      <c r="E30" s="38"/>
      <c r="F30" s="29"/>
      <c r="G30" s="101"/>
      <c r="H30" s="201"/>
      <c r="I30" s="233"/>
      <c r="J30" s="90"/>
      <c r="K30" s="233"/>
      <c r="L30" s="90"/>
      <c r="M30" s="233"/>
      <c r="N30" s="90"/>
      <c r="O30" s="233"/>
      <c r="P30" s="90"/>
      <c r="Q30" s="90"/>
      <c r="R30" s="179"/>
      <c r="S30" s="29"/>
      <c r="T30" s="9"/>
      <c r="U30" s="116"/>
      <c r="V30" s="222"/>
      <c r="W30" s="222"/>
      <c r="X30" s="98"/>
      <c r="Y30" s="152"/>
      <c r="Z30" s="341"/>
      <c r="AA30" s="100"/>
      <c r="AB30" s="125"/>
      <c r="AC30" s="100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116"/>
    </row>
    <row r="31" spans="1:40" s="22" customFormat="1" x14ac:dyDescent="0.2">
      <c r="A31" s="29" t="s">
        <v>193</v>
      </c>
      <c r="B31" s="13" t="s">
        <v>194</v>
      </c>
      <c r="C31" s="87" t="s">
        <v>508</v>
      </c>
      <c r="D31" s="24">
        <v>10</v>
      </c>
      <c r="E31" s="38">
        <v>0.1</v>
      </c>
      <c r="F31" s="88">
        <v>42185</v>
      </c>
      <c r="G31" s="101">
        <v>120</v>
      </c>
      <c r="H31" s="201">
        <f>100/G31</f>
        <v>0.83333333333333337</v>
      </c>
      <c r="I31" s="233">
        <f t="shared" ref="I31" si="16">H31*J31</f>
        <v>25</v>
      </c>
      <c r="J31" s="90">
        <f>(YEAR(F31)-YEAR(S31))*12+MONTH(F31)-MONTH(S31)</f>
        <v>30</v>
      </c>
      <c r="K31" s="233">
        <f>L31*H31</f>
        <v>75</v>
      </c>
      <c r="L31" s="90">
        <f>G31-J31</f>
        <v>90</v>
      </c>
      <c r="M31" s="233">
        <f>N31*H31</f>
        <v>5.8333333333333339</v>
      </c>
      <c r="N31" s="90">
        <v>7</v>
      </c>
      <c r="O31" s="233">
        <f t="shared" ref="O31:Q31" si="17">K31-M31</f>
        <v>69.166666666666671</v>
      </c>
      <c r="P31" s="90">
        <f t="shared" si="17"/>
        <v>83</v>
      </c>
      <c r="Q31" s="90">
        <f t="shared" si="17"/>
        <v>-63.333333333333336</v>
      </c>
      <c r="R31" s="179" t="s">
        <v>507</v>
      </c>
      <c r="S31" s="182">
        <v>41256</v>
      </c>
      <c r="T31" s="9">
        <v>1290</v>
      </c>
      <c r="U31" s="116">
        <v>18.420000000000002</v>
      </c>
      <c r="V31" s="222">
        <v>129</v>
      </c>
      <c r="W31" s="222">
        <v>1032</v>
      </c>
      <c r="X31" s="98">
        <v>10.75</v>
      </c>
      <c r="Y31" s="152">
        <f>X31*5</f>
        <v>53.75</v>
      </c>
      <c r="Z31" s="341">
        <f>W31-Y31</f>
        <v>978.25</v>
      </c>
      <c r="AA31" s="100">
        <v>115.958</v>
      </c>
      <c r="AB31" s="201">
        <v>107.246</v>
      </c>
      <c r="AC31" s="100">
        <f>AA31/AB31</f>
        <v>1.0812337989295639</v>
      </c>
      <c r="AD31" s="98">
        <f>Z31*M31/100/K31*100/7</f>
        <v>10.869444444444445</v>
      </c>
      <c r="AE31" s="98">
        <f>AD31*AC31</f>
        <v>11.752410708920511</v>
      </c>
      <c r="AF31" s="98">
        <f>AE31</f>
        <v>11.752410708920511</v>
      </c>
      <c r="AG31" s="98">
        <v>11.752410708920511</v>
      </c>
      <c r="AH31" s="98">
        <v>11.752410708920511</v>
      </c>
      <c r="AI31" s="98">
        <v>11.752410708920511</v>
      </c>
      <c r="AJ31" s="98">
        <v>11.752410708920511</v>
      </c>
      <c r="AK31" s="98">
        <v>11.752410708920511</v>
      </c>
      <c r="AL31" s="98">
        <v>11.752410708920511</v>
      </c>
      <c r="AM31" s="98">
        <f>SUM(AF31:AL31)</f>
        <v>82.266874962443566</v>
      </c>
      <c r="AN31" s="116">
        <f>Z31-AM31</f>
        <v>895.98312503755642</v>
      </c>
    </row>
    <row r="32" spans="1:40" s="22" customFormat="1" x14ac:dyDescent="0.2">
      <c r="A32" s="41" t="s">
        <v>187</v>
      </c>
      <c r="B32" s="41"/>
      <c r="C32" s="87"/>
      <c r="D32" s="24"/>
      <c r="E32" s="48"/>
      <c r="F32" s="29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9"/>
      <c r="S32" s="52"/>
      <c r="T32" s="9"/>
      <c r="U32" s="116"/>
      <c r="V32" s="18"/>
      <c r="W32" s="18"/>
      <c r="X32" s="98"/>
      <c r="Y32" s="154"/>
      <c r="Z32" s="340"/>
      <c r="AA32" s="110"/>
      <c r="AB32" s="201"/>
      <c r="AC32" s="110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17"/>
    </row>
    <row r="33" spans="1:40" s="22" customFormat="1" x14ac:dyDescent="0.2">
      <c r="A33" s="41" t="s">
        <v>196</v>
      </c>
      <c r="B33" s="13"/>
      <c r="C33" s="178"/>
      <c r="D33" s="208"/>
      <c r="E33" s="48"/>
      <c r="F33" s="29"/>
      <c r="G33" s="101"/>
      <c r="H33" s="201"/>
      <c r="I33" s="233"/>
      <c r="J33" s="90"/>
      <c r="K33" s="233"/>
      <c r="L33" s="90"/>
      <c r="M33" s="233"/>
      <c r="N33" s="90"/>
      <c r="O33" s="233"/>
      <c r="P33" s="90"/>
      <c r="Q33" s="90"/>
      <c r="R33" s="179"/>
      <c r="S33" s="52"/>
      <c r="T33" s="9"/>
      <c r="U33" s="116"/>
      <c r="V33" s="222"/>
      <c r="W33" s="222"/>
      <c r="X33" s="160"/>
      <c r="Y33" s="152"/>
      <c r="Z33" s="341"/>
      <c r="AA33" s="100"/>
      <c r="AB33" s="202"/>
      <c r="AC33" s="100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116"/>
    </row>
    <row r="34" spans="1:40" s="22" customFormat="1" x14ac:dyDescent="0.2">
      <c r="A34" s="29" t="s">
        <v>195</v>
      </c>
      <c r="B34" s="13" t="s">
        <v>197</v>
      </c>
      <c r="C34" s="87" t="s">
        <v>508</v>
      </c>
      <c r="D34" s="24">
        <v>10</v>
      </c>
      <c r="E34" s="48">
        <v>0.1</v>
      </c>
      <c r="F34" s="88">
        <v>42185</v>
      </c>
      <c r="G34" s="101">
        <v>120</v>
      </c>
      <c r="H34" s="201">
        <f>100/G34</f>
        <v>0.83333333333333337</v>
      </c>
      <c r="I34" s="233">
        <f t="shared" ref="I34" si="18">H34*J34</f>
        <v>25</v>
      </c>
      <c r="J34" s="90">
        <f>(YEAR(F34)-YEAR(S34))*12+MONTH(F34)-MONTH(S34)</f>
        <v>30</v>
      </c>
      <c r="K34" s="233">
        <f>L34*H34</f>
        <v>75</v>
      </c>
      <c r="L34" s="90">
        <f>G34-J34</f>
        <v>90</v>
      </c>
      <c r="M34" s="233">
        <f>N34*H34</f>
        <v>5.8333333333333339</v>
      </c>
      <c r="N34" s="90">
        <v>7</v>
      </c>
      <c r="O34" s="233">
        <f t="shared" ref="O34:Q34" si="19">K34-M34</f>
        <v>69.166666666666671</v>
      </c>
      <c r="P34" s="90">
        <f t="shared" si="19"/>
        <v>83</v>
      </c>
      <c r="Q34" s="90">
        <f t="shared" si="19"/>
        <v>-63.333333333333336</v>
      </c>
      <c r="R34" s="179" t="s">
        <v>507</v>
      </c>
      <c r="S34" s="182">
        <v>41256</v>
      </c>
      <c r="T34" s="9">
        <v>249</v>
      </c>
      <c r="U34" s="116">
        <v>89.18</v>
      </c>
      <c r="V34" s="222">
        <v>24.944999999999993</v>
      </c>
      <c r="W34" s="222">
        <v>199.155</v>
      </c>
      <c r="X34" s="98">
        <v>2.08</v>
      </c>
      <c r="Y34" s="152">
        <f>X34*5</f>
        <v>10.4</v>
      </c>
      <c r="Z34" s="341">
        <f>W34-Y34</f>
        <v>188.755</v>
      </c>
      <c r="AA34" s="100">
        <v>115.958</v>
      </c>
      <c r="AB34" s="201">
        <v>107.246</v>
      </c>
      <c r="AC34" s="100">
        <f>AA34/AB34</f>
        <v>1.0812337989295639</v>
      </c>
      <c r="AD34" s="98">
        <f>Z34*M34/100/K34*100/7</f>
        <v>2.0972777777777778</v>
      </c>
      <c r="AE34" s="98">
        <f>AD34*AC34</f>
        <v>2.2676476190772203</v>
      </c>
      <c r="AF34" s="98">
        <f>AE34</f>
        <v>2.2676476190772203</v>
      </c>
      <c r="AG34" s="98">
        <v>2.2676476190772203</v>
      </c>
      <c r="AH34" s="98">
        <v>2.2676476190772203</v>
      </c>
      <c r="AI34" s="98">
        <v>2.2676476190772203</v>
      </c>
      <c r="AJ34" s="98">
        <v>2.2676476190772203</v>
      </c>
      <c r="AK34" s="98">
        <v>2.2676476190772203</v>
      </c>
      <c r="AL34" s="98">
        <v>2.2676476190772203</v>
      </c>
      <c r="AM34" s="98">
        <f>SUM(AF34:AL34)</f>
        <v>15.873533333540541</v>
      </c>
      <c r="AN34" s="116">
        <f>Z34-AM34</f>
        <v>172.88146666645946</v>
      </c>
    </row>
    <row r="35" spans="1:40" s="22" customFormat="1" x14ac:dyDescent="0.2">
      <c r="A35" s="41" t="s">
        <v>183</v>
      </c>
      <c r="B35" s="41"/>
      <c r="C35" s="87"/>
      <c r="D35" s="24"/>
      <c r="E35" s="48"/>
      <c r="F35" s="29"/>
      <c r="G35" s="101"/>
      <c r="H35" s="201"/>
      <c r="I35" s="233"/>
      <c r="J35" s="90"/>
      <c r="K35" s="233"/>
      <c r="L35" s="90"/>
      <c r="M35" s="233"/>
      <c r="N35" s="90"/>
      <c r="O35" s="233"/>
      <c r="P35" s="90"/>
      <c r="Q35" s="90"/>
      <c r="R35" s="179"/>
      <c r="S35" s="52"/>
      <c r="T35" s="9"/>
      <c r="U35" s="116"/>
      <c r="V35" s="222"/>
      <c r="W35" s="222"/>
      <c r="X35" s="98"/>
      <c r="Y35" s="152"/>
      <c r="Z35" s="341"/>
      <c r="AA35" s="100"/>
      <c r="AB35" s="201"/>
      <c r="AC35" s="100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116"/>
    </row>
    <row r="36" spans="1:40" s="22" customFormat="1" x14ac:dyDescent="0.2">
      <c r="A36" s="41" t="s">
        <v>198</v>
      </c>
      <c r="B36" s="13"/>
      <c r="C36" s="87"/>
      <c r="D36" s="24"/>
      <c r="E36" s="48"/>
      <c r="F36" s="29"/>
      <c r="G36" s="101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88"/>
      <c r="S36" s="52"/>
      <c r="T36" s="9"/>
      <c r="U36" s="160"/>
      <c r="V36" s="222"/>
      <c r="W36" s="222"/>
      <c r="X36" s="98"/>
      <c r="Y36" s="152"/>
      <c r="Z36" s="341"/>
      <c r="AA36" s="100"/>
      <c r="AB36" s="201"/>
      <c r="AC36" s="100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116"/>
    </row>
    <row r="37" spans="1:40" s="22" customFormat="1" x14ac:dyDescent="0.2">
      <c r="A37" s="29" t="s">
        <v>199</v>
      </c>
      <c r="B37" s="145" t="s">
        <v>509</v>
      </c>
      <c r="C37" s="87" t="s">
        <v>508</v>
      </c>
      <c r="D37" s="24">
        <v>3</v>
      </c>
      <c r="E37" s="48">
        <v>0.33329999999999999</v>
      </c>
      <c r="F37" s="88">
        <v>42185</v>
      </c>
      <c r="G37" s="101">
        <v>36</v>
      </c>
      <c r="H37" s="201">
        <f>100/G37</f>
        <v>2.7777777777777777</v>
      </c>
      <c r="I37" s="233">
        <f t="shared" ref="I37" si="20">H37*J37</f>
        <v>83.333333333333329</v>
      </c>
      <c r="J37" s="90">
        <f>(YEAR(F37)-YEAR(S37))*12+MONTH(F37)-MONTH(S37)</f>
        <v>30</v>
      </c>
      <c r="K37" s="233">
        <f>L37*H37</f>
        <v>16.666666666666664</v>
      </c>
      <c r="L37" s="90">
        <f>G37-J37</f>
        <v>6</v>
      </c>
      <c r="M37" s="233">
        <f>N37*H37</f>
        <v>16.666666666666664</v>
      </c>
      <c r="N37" s="90">
        <v>6</v>
      </c>
      <c r="O37" s="233">
        <f t="shared" ref="O37" si="21">K37-M37</f>
        <v>0</v>
      </c>
      <c r="P37" s="90">
        <f t="shared" ref="P37" si="22">L37-N37</f>
        <v>0</v>
      </c>
      <c r="Q37" s="90">
        <f t="shared" ref="Q37" si="23">M37-O37</f>
        <v>16.666666666666664</v>
      </c>
      <c r="R37" s="179" t="s">
        <v>507</v>
      </c>
      <c r="S37" s="182">
        <v>41256</v>
      </c>
      <c r="T37" s="9">
        <v>780</v>
      </c>
      <c r="U37" s="116">
        <v>270.45</v>
      </c>
      <c r="V37" s="222">
        <v>259.93349999999998</v>
      </c>
      <c r="W37" s="222">
        <v>260.09250000000009</v>
      </c>
      <c r="X37" s="98">
        <v>21.66</v>
      </c>
      <c r="Y37" s="152">
        <f>X37*5</f>
        <v>108.3</v>
      </c>
      <c r="Z37" s="341">
        <f>W37-Y37</f>
        <v>151.79250000000008</v>
      </c>
      <c r="AA37" s="100">
        <v>115.958</v>
      </c>
      <c r="AB37" s="201">
        <v>107.246</v>
      </c>
      <c r="AC37" s="100">
        <f>AA37/AB37</f>
        <v>1.0812337989295639</v>
      </c>
      <c r="AD37" s="98">
        <f>Z37*M37/100/K37*100/7</f>
        <v>21.684642857142869</v>
      </c>
      <c r="AE37" s="98">
        <f>AD37*AC37</f>
        <v>23.446168774859419</v>
      </c>
      <c r="AF37" s="98">
        <f>AE37</f>
        <v>23.446168774859419</v>
      </c>
      <c r="AG37" s="98">
        <v>23.446168774859419</v>
      </c>
      <c r="AH37" s="98">
        <v>23.446168774859419</v>
      </c>
      <c r="AI37" s="98">
        <v>23.446168774859419</v>
      </c>
      <c r="AJ37" s="98">
        <v>23.446168774859419</v>
      </c>
      <c r="AK37" s="98">
        <v>23.446168774859419</v>
      </c>
      <c r="AL37" s="98">
        <v>10.119999999999999</v>
      </c>
      <c r="AM37" s="98">
        <f>SUM(AF37:AL37)</f>
        <v>150.79701264915653</v>
      </c>
      <c r="AN37" s="116">
        <f>Z37-AM37</f>
        <v>0.99548735084354689</v>
      </c>
    </row>
    <row r="38" spans="1:40" x14ac:dyDescent="0.2">
      <c r="R38" s="243"/>
      <c r="V38" s="336"/>
      <c r="W38" s="336"/>
      <c r="Y38" s="149"/>
      <c r="Z38" s="351"/>
      <c r="AD38" s="263"/>
      <c r="AE38" s="263"/>
      <c r="AF38" s="263">
        <f t="shared" ref="AF38:AM38" si="24">SUM(AF15:AF37)</f>
        <v>919.75864301490662</v>
      </c>
      <c r="AG38" s="263"/>
      <c r="AH38" s="263"/>
      <c r="AI38" s="263"/>
      <c r="AJ38" s="263"/>
      <c r="AK38" s="263">
        <f t="shared" si="24"/>
        <v>919.75864301490662</v>
      </c>
      <c r="AL38" s="263">
        <f t="shared" si="24"/>
        <v>454.02415191795114</v>
      </c>
      <c r="AM38" s="263">
        <f t="shared" si="24"/>
        <v>5972.5760100073921</v>
      </c>
      <c r="AN38" s="263">
        <f>SUM(AN15:AN37)</f>
        <v>3043.6932926592785</v>
      </c>
    </row>
    <row r="39" spans="1:40" s="150" customFormat="1" x14ac:dyDescent="0.2">
      <c r="A39" s="156" t="s">
        <v>460</v>
      </c>
      <c r="B39" s="132"/>
      <c r="C39" s="132"/>
      <c r="D39" s="133"/>
      <c r="E39" s="133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4"/>
      <c r="S39" s="134"/>
      <c r="T39" s="135"/>
      <c r="U39" s="135"/>
      <c r="V39" s="135"/>
      <c r="W39" s="135"/>
      <c r="X39" s="135"/>
      <c r="Z39"/>
      <c r="AA39"/>
      <c r="AB39" s="121"/>
      <c r="AC39"/>
      <c r="AD39"/>
      <c r="AE39"/>
      <c r="AF39"/>
      <c r="AG39"/>
      <c r="AH39"/>
      <c r="AI39"/>
      <c r="AJ39"/>
      <c r="AK39"/>
      <c r="AL39"/>
      <c r="AM39"/>
      <c r="AN39" s="113"/>
    </row>
    <row r="40" spans="1:40" s="150" customFormat="1" x14ac:dyDescent="0.2">
      <c r="A40" s="310" t="s">
        <v>719</v>
      </c>
      <c r="B40" s="311"/>
      <c r="C40" s="311"/>
      <c r="D40" s="312"/>
      <c r="E40" s="312"/>
      <c r="F40"/>
      <c r="G40"/>
      <c r="H40"/>
      <c r="I40"/>
      <c r="J40"/>
      <c r="K40"/>
      <c r="L40"/>
      <c r="M40"/>
      <c r="N40"/>
      <c r="O40"/>
      <c r="P40"/>
      <c r="Q40"/>
      <c r="R40" s="28"/>
      <c r="S40" s="28"/>
      <c r="T40" s="16"/>
      <c r="U40" s="16"/>
      <c r="V40" s="16"/>
      <c r="W40" s="16"/>
      <c r="X40" s="16"/>
      <c r="Z40"/>
      <c r="AA40"/>
      <c r="AB40" s="130"/>
      <c r="AC40"/>
      <c r="AD40"/>
      <c r="AE40" s="16"/>
      <c r="AF40"/>
      <c r="AG40"/>
      <c r="AH40"/>
      <c r="AI40"/>
      <c r="AJ40"/>
      <c r="AK40"/>
      <c r="AL40"/>
      <c r="AM40" s="510"/>
      <c r="AN40" s="113"/>
    </row>
    <row r="41" spans="1:40" ht="30.75" hidden="1" customHeight="1" x14ac:dyDescent="0.2">
      <c r="A41" s="568" t="s">
        <v>613</v>
      </c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239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</row>
    <row r="42" spans="1:40" hidden="1" x14ac:dyDescent="0.2">
      <c r="A42" s="568"/>
      <c r="B42" s="568"/>
      <c r="C42" s="568"/>
      <c r="D42" s="568"/>
      <c r="E42" s="568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</row>
  </sheetData>
  <mergeCells count="26">
    <mergeCell ref="D10:P10"/>
    <mergeCell ref="R10:T10"/>
    <mergeCell ref="W10:AN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41:AA42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36"/>
  <sheetViews>
    <sheetView topLeftCell="N7" zoomScale="110" zoomScaleNormal="110" workbookViewId="0">
      <selection activeCell="AA33" sqref="AA33:AE36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4" width="8.42578125" style="16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9" width="7.7109375" hidden="1" customWidth="1"/>
    <col min="40" max="40" width="8.7109375" hidden="1" customWidth="1"/>
    <col min="41" max="42" width="7.7109375" hidden="1" customWidth="1"/>
    <col min="43" max="43" width="7.7109375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/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510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43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44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45" t="s">
        <v>680</v>
      </c>
      <c r="O11" s="556" t="s">
        <v>643</v>
      </c>
      <c r="P11" s="35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47"/>
      <c r="V11" s="558" t="s">
        <v>746</v>
      </c>
      <c r="W11" s="558" t="s">
        <v>747</v>
      </c>
      <c r="X11" s="346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510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48"/>
      <c r="V12" s="569"/>
      <c r="W12" s="569"/>
      <c r="X12" s="349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68</v>
      </c>
      <c r="B13" s="172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69</v>
      </c>
      <c r="B14" s="180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171" t="s">
        <v>251</v>
      </c>
      <c r="B15" s="145" t="s">
        <v>756</v>
      </c>
      <c r="C15" s="87" t="s">
        <v>510</v>
      </c>
      <c r="D15" s="179">
        <v>3</v>
      </c>
      <c r="E15" s="181">
        <v>0.33329999999999999</v>
      </c>
      <c r="F15" s="88">
        <v>42185</v>
      </c>
      <c r="G15" s="179">
        <v>36</v>
      </c>
      <c r="H15" s="201">
        <f>100/G15</f>
        <v>2.7777777777777777</v>
      </c>
      <c r="I15" s="233">
        <f t="shared" ref="I15" si="0">H15*J15</f>
        <v>47.222222222222221</v>
      </c>
      <c r="J15" s="90">
        <f>(YEAR(F15)-YEAR(S15))*12+MONTH(F15)-MONTH(S15)</f>
        <v>17</v>
      </c>
      <c r="K15" s="233">
        <f>L15*H15</f>
        <v>52.777777777777779</v>
      </c>
      <c r="L15" s="90">
        <f>G15-J15</f>
        <v>19</v>
      </c>
      <c r="M15" s="233">
        <f>N15*H15</f>
        <v>19.444444444444443</v>
      </c>
      <c r="N15" s="90">
        <v>7</v>
      </c>
      <c r="O15" s="233">
        <f t="shared" ref="O15:Q15" si="1">K15-M15</f>
        <v>33.333333333333336</v>
      </c>
      <c r="P15" s="90">
        <f t="shared" si="1"/>
        <v>12</v>
      </c>
      <c r="Q15" s="90">
        <f t="shared" si="1"/>
        <v>-13.888888888888893</v>
      </c>
      <c r="R15" s="179" t="s">
        <v>507</v>
      </c>
      <c r="S15" s="182">
        <v>41640</v>
      </c>
      <c r="T15" s="9">
        <v>26913.06</v>
      </c>
      <c r="U15" s="116">
        <v>140.46</v>
      </c>
      <c r="V15" s="222">
        <v>99.967499999999987</v>
      </c>
      <c r="W15" s="222">
        <v>200.03250000000003</v>
      </c>
      <c r="X15" s="98">
        <v>8.33</v>
      </c>
      <c r="Y15" s="152">
        <f>X15*5</f>
        <v>41.65</v>
      </c>
      <c r="Z15" s="341">
        <f>W15-Y15</f>
        <v>158.38250000000002</v>
      </c>
      <c r="AA15" s="100">
        <v>115.958</v>
      </c>
      <c r="AB15" s="201">
        <v>112.505</v>
      </c>
      <c r="AC15" s="100">
        <f>AA15/AB15</f>
        <v>1.0306919692458114</v>
      </c>
      <c r="AD15" s="98">
        <f>Z15*M15/100/K15*100/7</f>
        <v>8.3359210526315781</v>
      </c>
      <c r="AE15" s="98">
        <f>AD15*AC15</f>
        <v>8.591766885214458</v>
      </c>
      <c r="AF15" s="98"/>
      <c r="AG15" s="98"/>
      <c r="AH15" s="98"/>
      <c r="AI15" s="98"/>
      <c r="AJ15" s="98"/>
      <c r="AK15" s="98">
        <f>AE15</f>
        <v>8.591766885214458</v>
      </c>
      <c r="AL15" s="98">
        <v>8.591766885214458</v>
      </c>
      <c r="AM15" s="98">
        <v>8.591766885214458</v>
      </c>
      <c r="AN15" s="98">
        <v>8.591766885214458</v>
      </c>
      <c r="AO15" s="98">
        <v>8.591766885214458</v>
      </c>
      <c r="AP15" s="98">
        <v>8.591766885214458</v>
      </c>
      <c r="AQ15" s="98">
        <v>8.591766885214458</v>
      </c>
      <c r="AR15" s="98">
        <f>SUM(AF15:AQ15)</f>
        <v>60.142368196501195</v>
      </c>
      <c r="AS15" s="116">
        <f>Z15-AR15</f>
        <v>98.240131803498826</v>
      </c>
    </row>
    <row r="16" spans="1:45" s="22" customFormat="1" ht="13.5" x14ac:dyDescent="0.25">
      <c r="A16" s="172" t="s">
        <v>68</v>
      </c>
      <c r="B16" s="172" t="s">
        <v>94</v>
      </c>
      <c r="C16" s="87"/>
      <c r="D16" s="179"/>
      <c r="E16" s="181"/>
      <c r="F16" s="29"/>
      <c r="G16" s="179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9"/>
      <c r="S16" s="182"/>
      <c r="T16" s="165"/>
      <c r="U16" s="116"/>
      <c r="V16" s="222"/>
      <c r="W16" s="222"/>
      <c r="X16" s="98"/>
      <c r="Y16" s="152"/>
      <c r="Z16" s="341"/>
      <c r="AA16" s="100"/>
      <c r="AB16" s="201"/>
      <c r="AC16" s="100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116"/>
    </row>
    <row r="17" spans="1:45" s="22" customFormat="1" ht="13.5" x14ac:dyDescent="0.25">
      <c r="A17" s="172" t="s">
        <v>86</v>
      </c>
      <c r="B17" s="145"/>
      <c r="C17" s="87"/>
      <c r="D17" s="334"/>
      <c r="E17" s="181"/>
      <c r="F17" s="29"/>
      <c r="G17" s="334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9"/>
      <c r="S17" s="182"/>
      <c r="T17" s="165"/>
      <c r="U17" s="116"/>
      <c r="V17" s="222"/>
      <c r="W17" s="222"/>
      <c r="X17" s="98"/>
      <c r="Y17" s="152"/>
      <c r="Z17" s="341"/>
      <c r="AA17" s="100"/>
      <c r="AB17" s="201"/>
      <c r="AC17" s="100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116"/>
    </row>
    <row r="18" spans="1:45" s="22" customFormat="1" x14ac:dyDescent="0.2">
      <c r="A18" s="171" t="s">
        <v>252</v>
      </c>
      <c r="B18" s="145" t="s">
        <v>757</v>
      </c>
      <c r="C18" s="87" t="s">
        <v>510</v>
      </c>
      <c r="D18" s="179">
        <v>10</v>
      </c>
      <c r="E18" s="181">
        <v>0.1</v>
      </c>
      <c r="F18" s="88">
        <v>42185</v>
      </c>
      <c r="G18" s="179">
        <v>120</v>
      </c>
      <c r="H18" s="201">
        <f>100/G18</f>
        <v>0.83333333333333337</v>
      </c>
      <c r="I18" s="233">
        <f t="shared" ref="I18" si="2">H18*J18</f>
        <v>74.166666666666671</v>
      </c>
      <c r="J18" s="90">
        <f>(YEAR(F18)-YEAR(S18))*12+MONTH(F18)-MONTH(S18)</f>
        <v>89</v>
      </c>
      <c r="K18" s="233">
        <f>L18*H18</f>
        <v>25.833333333333336</v>
      </c>
      <c r="L18" s="90">
        <f>G18-J18</f>
        <v>31</v>
      </c>
      <c r="M18" s="233">
        <f>N18*H18</f>
        <v>5.8333333333333339</v>
      </c>
      <c r="N18" s="90">
        <v>7</v>
      </c>
      <c r="O18" s="233">
        <f t="shared" ref="O18:Q18" si="3">K18-M18</f>
        <v>20</v>
      </c>
      <c r="P18" s="90">
        <f t="shared" si="3"/>
        <v>24</v>
      </c>
      <c r="Q18" s="90">
        <f t="shared" si="3"/>
        <v>-14.166666666666666</v>
      </c>
      <c r="R18" s="179" t="s">
        <v>507</v>
      </c>
      <c r="S18" s="182">
        <v>39448</v>
      </c>
      <c r="T18" s="9">
        <v>1590</v>
      </c>
      <c r="U18" s="116">
        <v>270.45</v>
      </c>
      <c r="V18" s="222">
        <v>89.030000000000015</v>
      </c>
      <c r="W18" s="222">
        <v>266.96999999999997</v>
      </c>
      <c r="X18" s="98">
        <v>7.42</v>
      </c>
      <c r="Y18" s="152">
        <f>X18*5</f>
        <v>37.1</v>
      </c>
      <c r="Z18" s="341">
        <f>W18-Y18</f>
        <v>229.86999999999998</v>
      </c>
      <c r="AA18" s="100">
        <v>115.958</v>
      </c>
      <c r="AB18" s="201">
        <v>126.146</v>
      </c>
      <c r="AC18" s="100">
        <f>AA18/AB18</f>
        <v>0.91923644031519036</v>
      </c>
      <c r="AD18" s="98">
        <f>Z18*M18/100/K18*100/7</f>
        <v>7.4151612903225805</v>
      </c>
      <c r="AE18" s="98">
        <f>AD18*AC18</f>
        <v>6.8162864688791229</v>
      </c>
      <c r="AF18" s="98"/>
      <c r="AG18" s="98"/>
      <c r="AH18" s="98"/>
      <c r="AI18" s="98"/>
      <c r="AJ18" s="98"/>
      <c r="AK18" s="98">
        <f>AE18</f>
        <v>6.8162864688791229</v>
      </c>
      <c r="AL18" s="98">
        <v>6.8162864688791229</v>
      </c>
      <c r="AM18" s="98">
        <v>6.8162864688791229</v>
      </c>
      <c r="AN18" s="98">
        <v>6.8162864688791229</v>
      </c>
      <c r="AO18" s="98">
        <v>6.8162864688791229</v>
      </c>
      <c r="AP18" s="98">
        <v>6.8162864688791229</v>
      </c>
      <c r="AQ18" s="98">
        <v>6.8162864688791229</v>
      </c>
      <c r="AR18" s="98">
        <f>SUM(AF18:AQ18)</f>
        <v>47.714005282153856</v>
      </c>
      <c r="AS18" s="116">
        <f>Z18-AR18</f>
        <v>182.15599471784611</v>
      </c>
    </row>
    <row r="19" spans="1:45" s="22" customFormat="1" x14ac:dyDescent="0.2">
      <c r="A19" s="171" t="s">
        <v>252</v>
      </c>
      <c r="B19" s="145" t="s">
        <v>757</v>
      </c>
      <c r="C19" s="87" t="s">
        <v>510</v>
      </c>
      <c r="D19" s="179">
        <v>10</v>
      </c>
      <c r="E19" s="181">
        <v>0.1</v>
      </c>
      <c r="F19" s="88">
        <v>42185</v>
      </c>
      <c r="G19" s="179">
        <v>120</v>
      </c>
      <c r="H19" s="201">
        <f>100/G19</f>
        <v>0.83333333333333337</v>
      </c>
      <c r="I19" s="233">
        <f t="shared" ref="I19" si="4">H19*J19</f>
        <v>84.166666666666671</v>
      </c>
      <c r="J19" s="90">
        <f>(YEAR(F19)-YEAR(S19))*12+MONTH(F19)-MONTH(S19)</f>
        <v>101</v>
      </c>
      <c r="K19" s="233">
        <f>L19*H19</f>
        <v>15.833333333333334</v>
      </c>
      <c r="L19" s="90">
        <f>G19-J19</f>
        <v>19</v>
      </c>
      <c r="M19" s="233">
        <f>N19*H19</f>
        <v>5.8333333333333339</v>
      </c>
      <c r="N19" s="90">
        <v>7</v>
      </c>
      <c r="O19" s="233">
        <f t="shared" ref="O19" si="5">K19-M19</f>
        <v>10</v>
      </c>
      <c r="P19" s="90">
        <f t="shared" ref="P19" si="6">L19-N19</f>
        <v>12</v>
      </c>
      <c r="Q19" s="90">
        <f t="shared" ref="Q19" si="7">M19-O19</f>
        <v>-4.1666666666666661</v>
      </c>
      <c r="R19" s="179" t="s">
        <v>507</v>
      </c>
      <c r="S19" s="182">
        <v>39083</v>
      </c>
      <c r="T19" s="9">
        <v>1590</v>
      </c>
      <c r="U19" s="116">
        <v>270.45</v>
      </c>
      <c r="V19" s="222">
        <v>110.03000000000002</v>
      </c>
      <c r="W19" s="222">
        <v>219.96999999999997</v>
      </c>
      <c r="X19" s="98">
        <v>9.17</v>
      </c>
      <c r="Y19" s="152">
        <f>X19*5</f>
        <v>45.85</v>
      </c>
      <c r="Z19" s="341">
        <f>W19-Y19</f>
        <v>174.11999999999998</v>
      </c>
      <c r="AA19" s="100">
        <v>115.958</v>
      </c>
      <c r="AB19" s="201">
        <v>121.64</v>
      </c>
      <c r="AC19" s="100">
        <f>AA19/AB19</f>
        <v>0.95328839197632353</v>
      </c>
      <c r="AD19" s="98">
        <f>Z19*M19/100/K19*100/7</f>
        <v>9.164210526315788</v>
      </c>
      <c r="AE19" s="98">
        <f>AD19*AC19</f>
        <v>8.7361355163640759</v>
      </c>
      <c r="AF19" s="98"/>
      <c r="AG19" s="98"/>
      <c r="AH19" s="98"/>
      <c r="AI19" s="98"/>
      <c r="AJ19" s="98"/>
      <c r="AK19" s="98">
        <f>AE19</f>
        <v>8.7361355163640759</v>
      </c>
      <c r="AL19" s="98">
        <v>8.7361355163640759</v>
      </c>
      <c r="AM19" s="98">
        <v>8.7361355163640759</v>
      </c>
      <c r="AN19" s="98">
        <v>8.7361355163640759</v>
      </c>
      <c r="AO19" s="98">
        <v>8.7361355163640759</v>
      </c>
      <c r="AP19" s="98">
        <v>8.7361355163640759</v>
      </c>
      <c r="AQ19" s="98">
        <v>8.7361355163640759</v>
      </c>
      <c r="AR19" s="98">
        <f>SUM(AF19:AQ19)</f>
        <v>61.152948614548521</v>
      </c>
      <c r="AS19" s="116">
        <f>Z19-AR19</f>
        <v>112.96705138545146</v>
      </c>
    </row>
    <row r="20" spans="1:45" s="22" customFormat="1" x14ac:dyDescent="0.2">
      <c r="A20" s="41" t="s">
        <v>68</v>
      </c>
      <c r="B20" s="41" t="s">
        <v>92</v>
      </c>
      <c r="C20" s="87"/>
      <c r="D20" s="24"/>
      <c r="E20" s="48"/>
      <c r="F20" s="88"/>
      <c r="G20" s="179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179"/>
      <c r="S20" s="182"/>
      <c r="T20" s="9"/>
      <c r="U20" s="116"/>
      <c r="V20" s="222"/>
      <c r="W20" s="222"/>
      <c r="X20" s="98"/>
      <c r="Y20" s="152"/>
      <c r="Z20" s="341"/>
      <c r="AA20" s="100"/>
      <c r="AB20" s="201"/>
      <c r="AC20" s="100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116"/>
    </row>
    <row r="21" spans="1:45" s="22" customFormat="1" x14ac:dyDescent="0.2">
      <c r="A21" s="41" t="s">
        <v>87</v>
      </c>
      <c r="B21" s="13"/>
      <c r="C21" s="87"/>
      <c r="D21" s="24"/>
      <c r="E21" s="48"/>
      <c r="F21" s="88"/>
      <c r="G21" s="179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179"/>
      <c r="S21" s="182"/>
      <c r="T21" s="9"/>
      <c r="U21" s="116"/>
      <c r="V21" s="222"/>
      <c r="W21" s="222"/>
      <c r="X21" s="98"/>
      <c r="Y21" s="152"/>
      <c r="Z21" s="341"/>
      <c r="AA21" s="100"/>
      <c r="AB21" s="201"/>
      <c r="AC21" s="100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116"/>
    </row>
    <row r="22" spans="1:45" s="449" customFormat="1" x14ac:dyDescent="0.2">
      <c r="A22" s="459" t="s">
        <v>828</v>
      </c>
      <c r="B22" s="434" t="s">
        <v>865</v>
      </c>
      <c r="C22" s="450" t="s">
        <v>477</v>
      </c>
      <c r="D22" s="435">
        <v>10</v>
      </c>
      <c r="E22" s="451">
        <v>0.1</v>
      </c>
      <c r="F22" s="437">
        <v>42335</v>
      </c>
      <c r="G22" s="438">
        <v>120</v>
      </c>
      <c r="H22" s="439">
        <f>100/G22</f>
        <v>0.83333333333333337</v>
      </c>
      <c r="I22" s="440">
        <f>H22*J22</f>
        <v>0</v>
      </c>
      <c r="J22" s="438">
        <f>(YEAR(F22)-YEAR(S22))*12+MONTH(F22)-MONTH(S22)</f>
        <v>0</v>
      </c>
      <c r="K22" s="440">
        <f>L22*H22</f>
        <v>100</v>
      </c>
      <c r="L22" s="438">
        <f>G22-J22</f>
        <v>120</v>
      </c>
      <c r="M22" s="440">
        <f>N22*H22</f>
        <v>0.83333333333333337</v>
      </c>
      <c r="N22" s="438">
        <v>1</v>
      </c>
      <c r="O22" s="440">
        <f>P22*H22</f>
        <v>99.166666666666671</v>
      </c>
      <c r="P22" s="438">
        <f t="shared" ref="P22" si="8">L22-N22</f>
        <v>119</v>
      </c>
      <c r="Q22" s="438">
        <f>M22-O22</f>
        <v>-98.333333333333343</v>
      </c>
      <c r="R22" s="438">
        <v>4658</v>
      </c>
      <c r="S22" s="437">
        <v>42335</v>
      </c>
      <c r="T22" s="443">
        <v>734</v>
      </c>
      <c r="U22" s="445">
        <v>0</v>
      </c>
      <c r="V22" s="447">
        <v>0</v>
      </c>
      <c r="W22" s="447">
        <v>0</v>
      </c>
      <c r="X22" s="445">
        <v>0</v>
      </c>
      <c r="Y22" s="447">
        <v>0</v>
      </c>
      <c r="Z22" s="445">
        <v>0</v>
      </c>
      <c r="AA22" s="399">
        <v>115.958</v>
      </c>
      <c r="AB22" s="447">
        <v>118.051</v>
      </c>
      <c r="AC22" s="447">
        <f>AA22/AB22</f>
        <v>0.98227037466857536</v>
      </c>
      <c r="AD22" s="447">
        <f>H22*T22/100</f>
        <v>6.1166666666666671</v>
      </c>
      <c r="AE22" s="447">
        <f>AD22*AC22</f>
        <v>6.0082204583894532</v>
      </c>
      <c r="AF22" s="447"/>
      <c r="AG22" s="447"/>
      <c r="AH22" s="447"/>
      <c r="AI22" s="447"/>
      <c r="AJ22" s="447"/>
      <c r="AK22" s="448"/>
      <c r="AL22" s="448"/>
      <c r="AM22" s="448"/>
      <c r="AN22" s="448"/>
      <c r="AO22" s="448"/>
      <c r="AP22" s="448"/>
      <c r="AQ22" s="401">
        <f>AE22</f>
        <v>6.0082204583894532</v>
      </c>
      <c r="AR22" s="401">
        <f>AQ22</f>
        <v>6.0082204583894532</v>
      </c>
      <c r="AS22" s="402">
        <f>T22-AR22</f>
        <v>727.99177954161053</v>
      </c>
    </row>
    <row r="23" spans="1:45" s="22" customFormat="1" x14ac:dyDescent="0.2">
      <c r="A23" s="395" t="s">
        <v>828</v>
      </c>
      <c r="B23" s="388" t="s">
        <v>829</v>
      </c>
      <c r="C23" s="405" t="s">
        <v>510</v>
      </c>
      <c r="D23" s="407">
        <v>10</v>
      </c>
      <c r="E23" s="410">
        <v>0.1</v>
      </c>
      <c r="F23" s="391">
        <v>42185</v>
      </c>
      <c r="G23" s="411">
        <v>123</v>
      </c>
      <c r="H23" s="393">
        <f t="shared" ref="H23" si="9">100/G23</f>
        <v>0.81300813008130079</v>
      </c>
      <c r="I23" s="394">
        <f t="shared" ref="I23" si="10">H23*J23</f>
        <v>1.6260162601626016</v>
      </c>
      <c r="J23" s="392">
        <f t="shared" ref="J23" si="11">(YEAR(F23)-YEAR(S23))*12+MONTH(F23)-MONTH(S23)</f>
        <v>2</v>
      </c>
      <c r="K23" s="394">
        <f t="shared" ref="K23" si="12">L23*H23</f>
        <v>98.373983739837399</v>
      </c>
      <c r="L23" s="392">
        <f t="shared" ref="L23" si="13">G23-J23</f>
        <v>121</v>
      </c>
      <c r="M23" s="394">
        <f t="shared" ref="M23" si="14">N23*H23</f>
        <v>5.691056910569106</v>
      </c>
      <c r="N23" s="392">
        <v>7</v>
      </c>
      <c r="O23" s="394">
        <f t="shared" ref="O23" si="15">K23-M23</f>
        <v>92.682926829268297</v>
      </c>
      <c r="P23" s="392">
        <f t="shared" ref="P23" si="16">L23-N23</f>
        <v>114</v>
      </c>
      <c r="Q23" s="392">
        <f t="shared" ref="Q23" si="17">M23-O23</f>
        <v>-86.991869918699194</v>
      </c>
      <c r="R23" s="411" t="s">
        <v>507</v>
      </c>
      <c r="S23" s="412">
        <v>42114</v>
      </c>
      <c r="T23" s="413">
        <v>1798</v>
      </c>
      <c r="U23" s="402">
        <v>273.45</v>
      </c>
      <c r="V23" s="414"/>
      <c r="W23" s="414"/>
      <c r="X23" s="401"/>
      <c r="Y23" s="398">
        <f>H23*T23/100</f>
        <v>14.617886178861788</v>
      </c>
      <c r="Z23" s="415">
        <f>T23-Y23</f>
        <v>1783.3821138211383</v>
      </c>
      <c r="AA23" s="399">
        <v>115.958</v>
      </c>
      <c r="AB23" s="393">
        <v>121.64</v>
      </c>
      <c r="AC23" s="399">
        <f t="shared" ref="AC23" si="18">AA23/AB23</f>
        <v>0.95328839197632353</v>
      </c>
      <c r="AD23" s="401">
        <f t="shared" ref="AD23" si="19">Z23*M23/100/K23*100/7</f>
        <v>14.738695155546599</v>
      </c>
      <c r="AE23" s="401">
        <f t="shared" ref="AE23" si="20">AD23*AC23</f>
        <v>14.050227004660247</v>
      </c>
      <c r="AF23" s="401"/>
      <c r="AG23" s="401"/>
      <c r="AH23" s="401"/>
      <c r="AI23" s="401"/>
      <c r="AJ23" s="401"/>
      <c r="AK23" s="401">
        <f>14.05</f>
        <v>14.05</v>
      </c>
      <c r="AL23" s="401">
        <f t="shared" ref="AL23:AQ23" si="21">14.05</f>
        <v>14.05</v>
      </c>
      <c r="AM23" s="401">
        <f t="shared" si="21"/>
        <v>14.05</v>
      </c>
      <c r="AN23" s="401">
        <f t="shared" si="21"/>
        <v>14.05</v>
      </c>
      <c r="AO23" s="401">
        <f t="shared" si="21"/>
        <v>14.05</v>
      </c>
      <c r="AP23" s="401">
        <f t="shared" si="21"/>
        <v>14.05</v>
      </c>
      <c r="AQ23" s="401">
        <f t="shared" si="21"/>
        <v>14.05</v>
      </c>
      <c r="AR23" s="401">
        <f t="shared" ref="AR23" si="22">SUM(AF23:AQ23)</f>
        <v>98.35</v>
      </c>
      <c r="AS23" s="402">
        <f t="shared" ref="AS23" si="23">Z23-AR23</f>
        <v>1685.0321138211384</v>
      </c>
    </row>
    <row r="24" spans="1:45" s="22" customFormat="1" x14ac:dyDescent="0.2">
      <c r="A24" s="172" t="s">
        <v>74</v>
      </c>
      <c r="B24" s="172"/>
      <c r="C24" s="87"/>
      <c r="D24" s="179"/>
      <c r="E24" s="184"/>
      <c r="F24" s="29"/>
      <c r="G24" s="179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171"/>
      <c r="T24" s="9"/>
      <c r="U24" s="116"/>
      <c r="V24" s="222"/>
      <c r="W24" s="222"/>
      <c r="X24" s="98"/>
      <c r="Y24" s="152"/>
      <c r="Z24" s="341"/>
      <c r="AA24" s="100"/>
      <c r="AB24" s="125"/>
      <c r="AC24" s="100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16"/>
    </row>
    <row r="25" spans="1:45" s="22" customFormat="1" x14ac:dyDescent="0.2">
      <c r="A25" s="172" t="s">
        <v>135</v>
      </c>
      <c r="B25" s="145"/>
      <c r="C25" s="87"/>
      <c r="D25" s="179"/>
      <c r="E25" s="184"/>
      <c r="F25" s="88"/>
      <c r="G25" s="179"/>
      <c r="H25" s="201"/>
      <c r="I25" s="233"/>
      <c r="J25" s="90"/>
      <c r="K25" s="233"/>
      <c r="L25" s="90"/>
      <c r="M25" s="233"/>
      <c r="N25" s="90"/>
      <c r="O25" s="233"/>
      <c r="P25" s="90"/>
      <c r="Q25" s="90"/>
      <c r="R25" s="179"/>
      <c r="S25" s="171"/>
      <c r="T25" s="9"/>
      <c r="U25" s="116"/>
      <c r="V25" s="222"/>
      <c r="W25" s="222"/>
      <c r="X25" s="98"/>
      <c r="Y25" s="152"/>
      <c r="Z25" s="341"/>
      <c r="AA25" s="100"/>
      <c r="AB25" s="201"/>
      <c r="AC25" s="100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116"/>
    </row>
    <row r="26" spans="1:45" s="22" customFormat="1" x14ac:dyDescent="0.2">
      <c r="A26" s="171" t="s">
        <v>255</v>
      </c>
      <c r="B26" s="145" t="s">
        <v>758</v>
      </c>
      <c r="C26" s="87" t="s">
        <v>510</v>
      </c>
      <c r="D26" s="179">
        <v>10</v>
      </c>
      <c r="E26" s="184">
        <v>0.1</v>
      </c>
      <c r="F26" s="88">
        <v>42185</v>
      </c>
      <c r="G26" s="179">
        <v>120</v>
      </c>
      <c r="H26" s="201">
        <f>100/G26</f>
        <v>0.83333333333333337</v>
      </c>
      <c r="I26" s="233">
        <f t="shared" ref="I26" si="24">H26*J26</f>
        <v>64.166666666666671</v>
      </c>
      <c r="J26" s="90">
        <f>(YEAR(F26)-YEAR(S26))*12+MONTH(F26)-MONTH(S26)</f>
        <v>77</v>
      </c>
      <c r="K26" s="233">
        <f>L26*H26</f>
        <v>35.833333333333336</v>
      </c>
      <c r="L26" s="90">
        <f>G26-J26</f>
        <v>43</v>
      </c>
      <c r="M26" s="233">
        <f>N26*H26</f>
        <v>5.8333333333333339</v>
      </c>
      <c r="N26" s="90">
        <v>7</v>
      </c>
      <c r="O26" s="233">
        <f t="shared" ref="O26:Q26" si="25">K26-M26</f>
        <v>30</v>
      </c>
      <c r="P26" s="90">
        <f t="shared" si="25"/>
        <v>36</v>
      </c>
      <c r="Q26" s="90">
        <f t="shared" si="25"/>
        <v>-24.166666666666664</v>
      </c>
      <c r="R26" s="179" t="s">
        <v>507</v>
      </c>
      <c r="S26" s="171">
        <v>39814</v>
      </c>
      <c r="T26" s="9">
        <v>850</v>
      </c>
      <c r="U26" s="116">
        <v>18.420000000000002</v>
      </c>
      <c r="V26" s="222">
        <v>87.485000000000014</v>
      </c>
      <c r="W26" s="222">
        <v>350.01499999999999</v>
      </c>
      <c r="X26" s="98">
        <v>7.29</v>
      </c>
      <c r="Y26" s="152">
        <f>X26*5</f>
        <v>36.450000000000003</v>
      </c>
      <c r="Z26" s="341">
        <f>W26-Y26</f>
        <v>313.565</v>
      </c>
      <c r="AA26" s="100">
        <v>115.958</v>
      </c>
      <c r="AB26" s="201">
        <v>134.071</v>
      </c>
      <c r="AC26" s="100">
        <f>AA26/AB26</f>
        <v>0.8648999410759971</v>
      </c>
      <c r="AD26" s="98">
        <f>Z26*M26/100/K26*100/7</f>
        <v>7.2922093023255821</v>
      </c>
      <c r="AE26" s="98">
        <f>AD26*AC26</f>
        <v>6.3070313958952342</v>
      </c>
      <c r="AF26" s="98"/>
      <c r="AG26" s="98"/>
      <c r="AH26" s="98"/>
      <c r="AI26" s="98"/>
      <c r="AJ26" s="98"/>
      <c r="AK26" s="98">
        <f>AE26</f>
        <v>6.3070313958952342</v>
      </c>
      <c r="AL26" s="98">
        <v>6.3070313958952342</v>
      </c>
      <c r="AM26" s="98">
        <v>6.3070313958952342</v>
      </c>
      <c r="AN26" s="98">
        <v>6.3070313958952342</v>
      </c>
      <c r="AO26" s="98">
        <v>6.3070313958952342</v>
      </c>
      <c r="AP26" s="98">
        <v>6.3070313958952342</v>
      </c>
      <c r="AQ26" s="98">
        <v>6.3070313958952342</v>
      </c>
      <c r="AR26" s="98">
        <f>SUM(AF26:AQ26)</f>
        <v>44.149219771266644</v>
      </c>
      <c r="AS26" s="116">
        <f>Z26-AR26</f>
        <v>269.41578022873335</v>
      </c>
    </row>
    <row r="27" spans="1:45" x14ac:dyDescent="0.2">
      <c r="R27" s="243"/>
      <c r="V27" s="336"/>
      <c r="W27" s="336"/>
      <c r="Y27" s="149"/>
      <c r="Z27" s="351"/>
      <c r="AA27" s="22"/>
      <c r="AB27" s="513"/>
      <c r="AC27" s="22"/>
      <c r="AD27" s="509"/>
      <c r="AE27" s="509"/>
      <c r="AF27" s="509" t="e">
        <f>SUM(#REF!)</f>
        <v>#REF!</v>
      </c>
      <c r="AG27" s="509" t="e">
        <f>SUM(#REF!)</f>
        <v>#REF!</v>
      </c>
      <c r="AH27" s="509" t="e">
        <f>SUM(#REF!)</f>
        <v>#REF!</v>
      </c>
      <c r="AI27" s="509" t="e">
        <f>SUM(#REF!)</f>
        <v>#REF!</v>
      </c>
      <c r="AJ27" s="509" t="e">
        <f>SUM(#REF!)</f>
        <v>#REF!</v>
      </c>
      <c r="AK27" s="509">
        <f t="shared" ref="AK27:AR27" si="26">SUM(AK15:AK26)</f>
        <v>44.501220266352895</v>
      </c>
      <c r="AL27" s="509"/>
      <c r="AM27" s="509"/>
      <c r="AN27" s="509"/>
      <c r="AO27" s="509"/>
      <c r="AP27" s="509">
        <f t="shared" si="26"/>
        <v>44.501220266352895</v>
      </c>
      <c r="AQ27" s="263">
        <f t="shared" si="26"/>
        <v>50.509440724742348</v>
      </c>
      <c r="AR27" s="263">
        <f t="shared" si="26"/>
        <v>317.51676232285968</v>
      </c>
      <c r="AS27" s="263">
        <f>SUM(AS15:AS26)</f>
        <v>3075.8028514982784</v>
      </c>
    </row>
    <row r="28" spans="1:45" s="150" customFormat="1" x14ac:dyDescent="0.2">
      <c r="A28" s="156" t="s">
        <v>460</v>
      </c>
      <c r="B28" s="132"/>
      <c r="C28" s="132"/>
      <c r="D28" s="133"/>
      <c r="E28" s="133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4"/>
      <c r="S28" s="134"/>
      <c r="T28" s="135"/>
      <c r="U28" s="135"/>
      <c r="V28" s="135"/>
      <c r="W28" s="135"/>
      <c r="X28" s="135"/>
      <c r="Z28"/>
      <c r="AA28"/>
      <c r="AB28" s="121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 s="113"/>
    </row>
    <row r="29" spans="1:45" s="150" customFormat="1" x14ac:dyDescent="0.2">
      <c r="A29" s="310" t="s">
        <v>719</v>
      </c>
      <c r="B29" s="311"/>
      <c r="C29" s="311"/>
      <c r="D29" s="312"/>
      <c r="E29" s="312"/>
      <c r="F29"/>
      <c r="G29"/>
      <c r="H29"/>
      <c r="I29"/>
      <c r="J29"/>
      <c r="K29"/>
      <c r="L29"/>
      <c r="M29"/>
      <c r="N29"/>
      <c r="O29"/>
      <c r="P29"/>
      <c r="Q29"/>
      <c r="R29" s="28"/>
      <c r="S29" s="28"/>
      <c r="T29" s="16"/>
      <c r="U29" s="16"/>
      <c r="V29" s="16"/>
      <c r="W29" s="16"/>
      <c r="X29" s="16"/>
      <c r="Z29"/>
      <c r="AA29"/>
      <c r="AB29" s="130"/>
      <c r="AC29"/>
      <c r="AD29"/>
      <c r="AE29" s="16"/>
      <c r="AF29"/>
      <c r="AG29"/>
      <c r="AH29"/>
      <c r="AI29"/>
      <c r="AJ29"/>
      <c r="AK29"/>
      <c r="AL29"/>
      <c r="AM29"/>
      <c r="AN29"/>
      <c r="AO29"/>
      <c r="AP29"/>
      <c r="AQ29"/>
      <c r="AR29" s="510"/>
      <c r="AS29" s="113"/>
    </row>
    <row r="30" spans="1:45" ht="30.75" hidden="1" customHeight="1" x14ac:dyDescent="0.2">
      <c r="A30" s="568" t="s">
        <v>613</v>
      </c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  <c r="Y30" s="568"/>
      <c r="Z30" s="568"/>
      <c r="AA30" s="568"/>
      <c r="AB30" s="239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8"/>
      <c r="AR30" s="238"/>
      <c r="AS30" s="238"/>
    </row>
    <row r="31" spans="1:45" hidden="1" x14ac:dyDescent="0.2">
      <c r="A31" s="568"/>
      <c r="B31" s="568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</row>
    <row r="33" spans="27:44" x14ac:dyDescent="0.2">
      <c r="AA33" s="567" t="s">
        <v>1062</v>
      </c>
      <c r="AB33" s="572"/>
      <c r="AC33" s="572"/>
      <c r="AD33" s="572"/>
      <c r="AE33" s="572"/>
      <c r="AR33" s="526">
        <f>SUM(AQ27-AQ23-AQ22)</f>
        <v>30.451220266352898</v>
      </c>
    </row>
    <row r="34" spans="27:44" x14ac:dyDescent="0.2">
      <c r="AA34" s="572"/>
      <c r="AB34" s="572"/>
      <c r="AC34" s="572"/>
      <c r="AD34" s="572"/>
      <c r="AE34" s="572"/>
      <c r="AR34" s="17">
        <f>AR23+AR22+AR33</f>
        <v>134.80944072474236</v>
      </c>
    </row>
    <row r="35" spans="27:44" x14ac:dyDescent="0.2">
      <c r="AA35" s="572"/>
      <c r="AB35" s="572"/>
      <c r="AC35" s="572"/>
      <c r="AD35" s="572"/>
      <c r="AE35" s="572"/>
    </row>
    <row r="36" spans="27:44" x14ac:dyDescent="0.2">
      <c r="AA36" s="572"/>
      <c r="AB36" s="572"/>
      <c r="AC36" s="572"/>
      <c r="AD36" s="572"/>
      <c r="AE36" s="572"/>
    </row>
  </sheetData>
  <mergeCells count="27">
    <mergeCell ref="AA33:AE36"/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30:AA31"/>
    <mergeCell ref="R11:R12"/>
    <mergeCell ref="S11:S12"/>
    <mergeCell ref="T11:T12"/>
    <mergeCell ref="V11:V12"/>
    <mergeCell ref="W11:W12"/>
    <mergeCell ref="Y11:Y12"/>
    <mergeCell ref="Q11:Q12"/>
    <mergeCell ref="J11:J12"/>
    <mergeCell ref="K11:K12"/>
    <mergeCell ref="L11:L12"/>
    <mergeCell ref="M11:M12"/>
    <mergeCell ref="O11:O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69"/>
  <sheetViews>
    <sheetView topLeftCell="A22" zoomScale="110" zoomScaleNormal="110" workbookViewId="0">
      <selection activeCell="A54" sqref="A54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9" width="7.7109375" hidden="1" customWidth="1"/>
    <col min="40" max="40" width="9.140625" hidden="1" customWidth="1"/>
    <col min="41" max="42" width="7.7109375" hidden="1" customWidth="1"/>
    <col min="43" max="43" width="7.7109375" customWidth="1"/>
    <col min="44" max="44" width="10.140625" customWidth="1"/>
    <col min="45" max="45" width="10" style="113" customWidth="1"/>
    <col min="46" max="47" width="11.42578125" style="22"/>
  </cols>
  <sheetData>
    <row r="1" spans="1:47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/>
      <c r="AR1" s="137"/>
      <c r="AS1" s="141"/>
    </row>
    <row r="2" spans="1:47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7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7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7" x14ac:dyDescent="0.2">
      <c r="A5" s="137"/>
      <c r="B5" s="144" t="s">
        <v>499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7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7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7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7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7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52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7" ht="54" customHeight="1" x14ac:dyDescent="0.25">
      <c r="A11" s="552" t="s">
        <v>60</v>
      </c>
      <c r="B11" s="552" t="s">
        <v>0</v>
      </c>
      <c r="C11" s="3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54" t="s">
        <v>680</v>
      </c>
      <c r="O11" s="556" t="s">
        <v>643</v>
      </c>
      <c r="P11" s="359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56"/>
      <c r="V11" s="558" t="s">
        <v>746</v>
      </c>
      <c r="W11" s="558" t="s">
        <v>747</v>
      </c>
      <c r="X11" s="35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7" ht="32.25" customHeight="1" x14ac:dyDescent="0.25">
      <c r="A12" s="553"/>
      <c r="B12" s="553"/>
      <c r="C12" s="229" t="s">
        <v>498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57"/>
      <c r="V12" s="569"/>
      <c r="W12" s="569"/>
      <c r="X12" s="358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7" s="22" customFormat="1" x14ac:dyDescent="0.2">
      <c r="A13" s="172" t="s">
        <v>68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7" s="22" customFormat="1" x14ac:dyDescent="0.2">
      <c r="A14" s="172" t="s">
        <v>760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7" s="449" customFormat="1" x14ac:dyDescent="0.2">
      <c r="A15" s="434" t="s">
        <v>884</v>
      </c>
      <c r="B15" s="450" t="s">
        <v>885</v>
      </c>
      <c r="C15" s="450" t="s">
        <v>499</v>
      </c>
      <c r="D15" s="435">
        <v>3</v>
      </c>
      <c r="E15" s="469">
        <v>0.33329999999999999</v>
      </c>
      <c r="F15" s="437">
        <v>42304</v>
      </c>
      <c r="G15" s="438">
        <v>36</v>
      </c>
      <c r="H15" s="439">
        <f>100/G15</f>
        <v>2.7777777777777777</v>
      </c>
      <c r="I15" s="440">
        <f t="shared" ref="I15" si="0">H15*J15</f>
        <v>0</v>
      </c>
      <c r="J15" s="438">
        <f>(YEAR(F15)-YEAR(S15))*12+MONTH(F15)-MONTH(S15)</f>
        <v>0</v>
      </c>
      <c r="K15" s="440">
        <f>L15*H15</f>
        <v>100</v>
      </c>
      <c r="L15" s="438">
        <f>G15-J15</f>
        <v>36</v>
      </c>
      <c r="M15" s="440">
        <f>N15*H15</f>
        <v>5.5555555555555554</v>
      </c>
      <c r="N15" s="438">
        <v>2</v>
      </c>
      <c r="O15" s="440">
        <f>K15-M15</f>
        <v>94.444444444444443</v>
      </c>
      <c r="P15" s="438">
        <f>L15-N15</f>
        <v>34</v>
      </c>
      <c r="Q15" s="438">
        <f>M15-O15</f>
        <v>-88.888888888888886</v>
      </c>
      <c r="R15" s="438">
        <v>203</v>
      </c>
      <c r="S15" s="437">
        <v>42304</v>
      </c>
      <c r="T15" s="443">
        <v>1398.99</v>
      </c>
      <c r="U15" s="443">
        <v>0</v>
      </c>
      <c r="V15" s="444">
        <v>0</v>
      </c>
      <c r="W15" s="440">
        <v>0</v>
      </c>
      <c r="X15" s="445">
        <v>115.958</v>
      </c>
      <c r="Y15" s="447">
        <v>0</v>
      </c>
      <c r="Z15" s="445">
        <v>0</v>
      </c>
      <c r="AA15" s="445">
        <v>115.958</v>
      </c>
      <c r="AB15" s="447">
        <v>117.41</v>
      </c>
      <c r="AC15" s="447">
        <f>AA15/AB15</f>
        <v>0.98763308065752498</v>
      </c>
      <c r="AD15" s="447">
        <f>H15*T15/100</f>
        <v>38.860833333333332</v>
      </c>
      <c r="AE15" s="447">
        <f>AD15*AC15</f>
        <v>38.380244541918636</v>
      </c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8">
        <v>38.380000000000003</v>
      </c>
      <c r="AQ15" s="460">
        <f>AP15</f>
        <v>38.380000000000003</v>
      </c>
      <c r="AR15" s="460">
        <v>76.760000000000005</v>
      </c>
      <c r="AS15" s="470">
        <f>T15-AR15</f>
        <v>1322.23</v>
      </c>
      <c r="AT15" s="22"/>
      <c r="AU15" s="22"/>
    </row>
    <row r="16" spans="1:47" s="22" customFormat="1" x14ac:dyDescent="0.2">
      <c r="A16" s="171" t="s">
        <v>761</v>
      </c>
      <c r="B16" s="145" t="s">
        <v>762</v>
      </c>
      <c r="C16" s="87" t="s">
        <v>499</v>
      </c>
      <c r="D16" s="101">
        <v>10</v>
      </c>
      <c r="E16" s="48">
        <v>0.1</v>
      </c>
      <c r="F16" s="88">
        <v>42185</v>
      </c>
      <c r="G16" s="179">
        <v>120</v>
      </c>
      <c r="H16" s="201">
        <f>100/G16</f>
        <v>0.83333333333333337</v>
      </c>
      <c r="I16" s="233">
        <f t="shared" ref="I16" si="1">H16*J16</f>
        <v>3.3333333333333335</v>
      </c>
      <c r="J16" s="90">
        <f>(YEAR(F16)-YEAR(S16))*12+MONTH(F16)-MONTH(S16)</f>
        <v>4</v>
      </c>
      <c r="K16" s="233">
        <f>L16*H16</f>
        <v>96.666666666666671</v>
      </c>
      <c r="L16" s="90">
        <f>G16-J16</f>
        <v>116</v>
      </c>
      <c r="M16" s="233">
        <f>N16*H16</f>
        <v>5.8333333333333339</v>
      </c>
      <c r="N16" s="90">
        <v>7</v>
      </c>
      <c r="O16" s="233">
        <f t="shared" ref="O16" si="2">K16-M16</f>
        <v>90.833333333333343</v>
      </c>
      <c r="P16" s="90">
        <f t="shared" ref="P16" si="3">L16-N16</f>
        <v>109</v>
      </c>
      <c r="Q16" s="90">
        <f t="shared" ref="Q16" si="4">M16-O16</f>
        <v>-85.000000000000014</v>
      </c>
      <c r="R16" s="179" t="s">
        <v>763</v>
      </c>
      <c r="S16" s="52">
        <v>42041</v>
      </c>
      <c r="T16" s="9">
        <v>1334</v>
      </c>
      <c r="U16" s="116"/>
      <c r="V16" s="222">
        <v>0</v>
      </c>
      <c r="W16" s="222">
        <v>0</v>
      </c>
      <c r="X16" s="98">
        <v>11.12</v>
      </c>
      <c r="Y16" s="152">
        <f>X16*4</f>
        <v>44.48</v>
      </c>
      <c r="Z16" s="341">
        <f>T16-Y16</f>
        <v>1289.52</v>
      </c>
      <c r="AA16" s="100">
        <v>115.958</v>
      </c>
      <c r="AB16" s="100">
        <v>116.17400000000001</v>
      </c>
      <c r="AC16" s="100">
        <f>AA16/AB16</f>
        <v>0.99814071995455089</v>
      </c>
      <c r="AD16" s="98">
        <f>Z16*M16/100/K16*100/7</f>
        <v>11.116551724137933</v>
      </c>
      <c r="AE16" s="98">
        <f>AD16*AC16</f>
        <v>11.09588294134304</v>
      </c>
      <c r="AF16" s="98"/>
      <c r="AG16" s="98"/>
      <c r="AH16" s="98"/>
      <c r="AI16" s="98"/>
      <c r="AJ16" s="98"/>
      <c r="AK16" s="98">
        <f>AE16</f>
        <v>11.09588294134304</v>
      </c>
      <c r="AL16" s="98">
        <v>11.09588294134304</v>
      </c>
      <c r="AM16" s="98">
        <v>11.09588294134304</v>
      </c>
      <c r="AN16" s="98">
        <v>11.09588294134304</v>
      </c>
      <c r="AO16" s="98">
        <v>11.09588294134304</v>
      </c>
      <c r="AP16" s="98">
        <v>11.09588294134304</v>
      </c>
      <c r="AQ16" s="98">
        <v>11.09588294134304</v>
      </c>
      <c r="AR16" s="98">
        <f>SUM(AF16:AQ16)</f>
        <v>77.671180589401274</v>
      </c>
      <c r="AS16" s="116">
        <f>Z16-AR16</f>
        <v>1211.8488194105987</v>
      </c>
    </row>
    <row r="17" spans="1:47" s="22" customFormat="1" x14ac:dyDescent="0.2">
      <c r="A17" s="172" t="s">
        <v>68</v>
      </c>
      <c r="B17" s="172"/>
      <c r="C17" s="178"/>
      <c r="D17" s="42"/>
      <c r="E17" s="3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8"/>
      <c r="V17" s="18"/>
      <c r="W17" s="18"/>
      <c r="X17" s="18"/>
      <c r="Y17" s="154"/>
      <c r="Z17" s="110"/>
      <c r="AA17" s="110"/>
      <c r="AB17" s="126"/>
      <c r="AC17" s="110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17"/>
    </row>
    <row r="18" spans="1:47" s="22" customFormat="1" x14ac:dyDescent="0.2">
      <c r="A18" s="172" t="s">
        <v>530</v>
      </c>
      <c r="B18" s="13"/>
      <c r="C18" s="87"/>
      <c r="D18" s="208"/>
      <c r="E18" s="38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9"/>
      <c r="S18" s="29"/>
      <c r="T18" s="18"/>
      <c r="U18" s="18"/>
      <c r="V18" s="18"/>
      <c r="W18" s="18"/>
      <c r="X18" s="18"/>
      <c r="Y18" s="154"/>
      <c r="Z18" s="110"/>
      <c r="AA18" s="110"/>
      <c r="AB18" s="158"/>
      <c r="AC18" s="110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17"/>
    </row>
    <row r="19" spans="1:47" s="22" customFormat="1" x14ac:dyDescent="0.2">
      <c r="A19" s="171" t="s">
        <v>531</v>
      </c>
      <c r="B19" s="145" t="s">
        <v>532</v>
      </c>
      <c r="C19" s="87" t="s">
        <v>499</v>
      </c>
      <c r="D19" s="101">
        <v>10</v>
      </c>
      <c r="E19" s="48">
        <v>0.1</v>
      </c>
      <c r="F19" s="88">
        <v>42185</v>
      </c>
      <c r="G19" s="179">
        <v>120</v>
      </c>
      <c r="H19" s="201">
        <f>100/G19</f>
        <v>0.83333333333333337</v>
      </c>
      <c r="I19" s="233">
        <f t="shared" ref="I19" si="5">H19*J19</f>
        <v>54.166666666666671</v>
      </c>
      <c r="J19" s="90">
        <f>(YEAR(F19)-YEAR(S19))*12+MONTH(F19)-MONTH(S19)</f>
        <v>65</v>
      </c>
      <c r="K19" s="233">
        <f>L19*H19</f>
        <v>45.833333333333336</v>
      </c>
      <c r="L19" s="90">
        <f>G19-J19</f>
        <v>55</v>
      </c>
      <c r="M19" s="233">
        <f>N19*H19</f>
        <v>5.8333333333333339</v>
      </c>
      <c r="N19" s="90">
        <v>7</v>
      </c>
      <c r="O19" s="233">
        <f t="shared" ref="O19" si="6">K19-M19</f>
        <v>40</v>
      </c>
      <c r="P19" s="90">
        <f t="shared" ref="P19" si="7">L19-N19</f>
        <v>48</v>
      </c>
      <c r="Q19" s="90">
        <f t="shared" ref="Q19" si="8">M19-O19</f>
        <v>-34.166666666666664</v>
      </c>
      <c r="R19" s="179" t="s">
        <v>507</v>
      </c>
      <c r="S19" s="52">
        <v>40179</v>
      </c>
      <c r="T19" s="9">
        <v>1300</v>
      </c>
      <c r="U19" s="116"/>
      <c r="V19" s="222">
        <v>129.97</v>
      </c>
      <c r="W19" s="222">
        <v>650.03</v>
      </c>
      <c r="X19" s="98">
        <v>10.83</v>
      </c>
      <c r="Y19" s="152">
        <f>X19*5</f>
        <v>54.15</v>
      </c>
      <c r="Z19" s="341">
        <f>W19-Y19</f>
        <v>595.88</v>
      </c>
      <c r="AA19" s="100">
        <v>115.958</v>
      </c>
      <c r="AB19" s="100">
        <v>140.047</v>
      </c>
      <c r="AC19" s="100">
        <f>AA19/AB19</f>
        <v>0.82799345933865065</v>
      </c>
      <c r="AD19" s="98">
        <f>Z19*M19/100/K19*100/7</f>
        <v>10.83418181818182</v>
      </c>
      <c r="AE19" s="98">
        <f>AD19*AC19</f>
        <v>8.9706316827402777</v>
      </c>
      <c r="AF19" s="98"/>
      <c r="AG19" s="98"/>
      <c r="AH19" s="98"/>
      <c r="AI19" s="98"/>
      <c r="AJ19" s="98"/>
      <c r="AK19" s="98">
        <f>AE19</f>
        <v>8.9706316827402777</v>
      </c>
      <c r="AL19" s="98">
        <v>8.9706316827402777</v>
      </c>
      <c r="AM19" s="98">
        <v>8.9706316827402777</v>
      </c>
      <c r="AN19" s="98">
        <v>8.9706316827402777</v>
      </c>
      <c r="AO19" s="98">
        <v>8.9706316827402777</v>
      </c>
      <c r="AP19" s="98">
        <v>8.9706316827402777</v>
      </c>
      <c r="AQ19" s="98">
        <v>8.9706316827402777</v>
      </c>
      <c r="AR19" s="98">
        <f>SUM(AF19:AQ19)</f>
        <v>62.794421779181938</v>
      </c>
      <c r="AS19" s="116">
        <f>Z19-AR19</f>
        <v>533.08557822081809</v>
      </c>
    </row>
    <row r="20" spans="1:47" s="22" customFormat="1" x14ac:dyDescent="0.2">
      <c r="A20" s="41" t="s">
        <v>68</v>
      </c>
      <c r="B20" s="41" t="s">
        <v>92</v>
      </c>
      <c r="C20" s="87"/>
      <c r="D20" s="24"/>
      <c r="E20" s="48"/>
      <c r="F20" s="88"/>
      <c r="G20" s="179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179"/>
      <c r="S20" s="182"/>
      <c r="T20" s="9"/>
      <c r="U20" s="116"/>
      <c r="V20" s="222"/>
      <c r="W20" s="222"/>
      <c r="X20" s="98"/>
      <c r="Y20" s="152"/>
      <c r="Z20" s="341"/>
      <c r="AA20" s="100"/>
      <c r="AB20" s="201"/>
      <c r="AC20" s="100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116"/>
    </row>
    <row r="21" spans="1:47" s="22" customFormat="1" x14ac:dyDescent="0.2">
      <c r="A21" s="41" t="s">
        <v>87</v>
      </c>
      <c r="B21" s="13"/>
      <c r="C21" s="87"/>
      <c r="D21" s="24"/>
      <c r="E21" s="48"/>
      <c r="F21" s="88"/>
      <c r="G21" s="179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179"/>
      <c r="S21" s="182"/>
      <c r="T21" s="9"/>
      <c r="U21" s="116"/>
      <c r="V21" s="222"/>
      <c r="W21" s="222"/>
      <c r="X21" s="98"/>
      <c r="Y21" s="152"/>
      <c r="Z21" s="341"/>
      <c r="AA21" s="100"/>
      <c r="AB21" s="201"/>
      <c r="AC21" s="100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116"/>
    </row>
    <row r="22" spans="1:47" s="449" customFormat="1" x14ac:dyDescent="0.2">
      <c r="A22" s="459" t="s">
        <v>868</v>
      </c>
      <c r="B22" s="434" t="s">
        <v>865</v>
      </c>
      <c r="C22" s="450" t="s">
        <v>499</v>
      </c>
      <c r="D22" s="435">
        <v>10</v>
      </c>
      <c r="E22" s="451">
        <v>0.1</v>
      </c>
      <c r="F22" s="437">
        <v>42335</v>
      </c>
      <c r="G22" s="438">
        <v>120</v>
      </c>
      <c r="H22" s="439">
        <f>100/G22</f>
        <v>0.83333333333333337</v>
      </c>
      <c r="I22" s="440">
        <f>H22*J22</f>
        <v>0</v>
      </c>
      <c r="J22" s="438">
        <f>(YEAR(F22)-YEAR(S22))*12+MONTH(F22)-MONTH(S22)</f>
        <v>0</v>
      </c>
      <c r="K22" s="440">
        <f>L22*H22</f>
        <v>100</v>
      </c>
      <c r="L22" s="438">
        <f>G22-J22</f>
        <v>120</v>
      </c>
      <c r="M22" s="440">
        <f>N22*H22</f>
        <v>0.83333333333333337</v>
      </c>
      <c r="N22" s="438">
        <v>1</v>
      </c>
      <c r="O22" s="440">
        <f>P22*H22</f>
        <v>99.166666666666671</v>
      </c>
      <c r="P22" s="438">
        <f t="shared" ref="P22" si="9">L22-N22</f>
        <v>119</v>
      </c>
      <c r="Q22" s="438">
        <f>M22-O22</f>
        <v>-98.333333333333343</v>
      </c>
      <c r="R22" s="438">
        <v>4658</v>
      </c>
      <c r="S22" s="437">
        <v>42335</v>
      </c>
      <c r="T22" s="443">
        <v>734</v>
      </c>
      <c r="U22" s="445">
        <v>0</v>
      </c>
      <c r="V22" s="447">
        <v>0</v>
      </c>
      <c r="W22" s="447">
        <v>0</v>
      </c>
      <c r="X22" s="445">
        <v>0</v>
      </c>
      <c r="Y22" s="447">
        <v>0</v>
      </c>
      <c r="Z22" s="445">
        <v>0</v>
      </c>
      <c r="AA22" s="399">
        <v>115.958</v>
      </c>
      <c r="AB22" s="447">
        <v>118.051</v>
      </c>
      <c r="AC22" s="447">
        <f>AA22/AB22</f>
        <v>0.98227037466857536</v>
      </c>
      <c r="AD22" s="447">
        <f>H22*T22/100</f>
        <v>6.1166666666666671</v>
      </c>
      <c r="AE22" s="447">
        <f>AD22*AC22</f>
        <v>6.0082204583894532</v>
      </c>
      <c r="AF22" s="447"/>
      <c r="AG22" s="447"/>
      <c r="AH22" s="447"/>
      <c r="AI22" s="447"/>
      <c r="AJ22" s="447"/>
      <c r="AK22" s="448"/>
      <c r="AL22" s="448"/>
      <c r="AM22" s="448"/>
      <c r="AN22" s="448"/>
      <c r="AO22" s="448"/>
      <c r="AP22" s="448"/>
      <c r="AQ22" s="401">
        <f>AE22</f>
        <v>6.0082204583894532</v>
      </c>
      <c r="AR22" s="401">
        <v>6.01</v>
      </c>
      <c r="AS22" s="402">
        <f>T22-AR22</f>
        <v>727.99</v>
      </c>
      <c r="AT22" s="22"/>
      <c r="AU22" s="22"/>
    </row>
    <row r="23" spans="1:47" s="22" customFormat="1" x14ac:dyDescent="0.2">
      <c r="A23" s="172" t="s">
        <v>68</v>
      </c>
      <c r="B23" s="172"/>
      <c r="C23" s="178"/>
      <c r="D23" s="157"/>
      <c r="E23" s="157"/>
      <c r="F23" s="29"/>
      <c r="G23" s="179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179"/>
      <c r="S23" s="171"/>
      <c r="T23" s="11"/>
      <c r="U23" s="116"/>
      <c r="V23" s="222"/>
      <c r="W23" s="222"/>
      <c r="X23" s="98"/>
      <c r="Y23" s="152"/>
      <c r="Z23" s="341"/>
      <c r="AA23" s="100"/>
      <c r="AB23" s="127"/>
      <c r="AC23" s="100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116"/>
    </row>
    <row r="24" spans="1:47" s="22" customFormat="1" x14ac:dyDescent="0.2">
      <c r="A24" s="172" t="s">
        <v>102</v>
      </c>
      <c r="B24" s="13"/>
      <c r="C24" s="87"/>
      <c r="D24" s="101"/>
      <c r="E24" s="184"/>
      <c r="F24" s="29"/>
      <c r="G24" s="334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182"/>
      <c r="T24" s="183"/>
      <c r="U24" s="116"/>
      <c r="V24" s="222"/>
      <c r="W24" s="222"/>
      <c r="X24" s="98"/>
      <c r="Y24" s="152"/>
      <c r="Z24" s="341"/>
      <c r="AA24" s="100"/>
      <c r="AB24" s="125"/>
      <c r="AC24" s="100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16"/>
    </row>
    <row r="25" spans="1:47" s="22" customFormat="1" x14ac:dyDescent="0.2">
      <c r="A25" s="171" t="s">
        <v>518</v>
      </c>
      <c r="B25" s="145" t="s">
        <v>519</v>
      </c>
      <c r="C25" s="87" t="s">
        <v>499</v>
      </c>
      <c r="D25" s="101">
        <v>10</v>
      </c>
      <c r="E25" s="48">
        <v>0.1</v>
      </c>
      <c r="F25" s="88">
        <v>42185</v>
      </c>
      <c r="G25" s="179">
        <v>120</v>
      </c>
      <c r="H25" s="201">
        <f>100/G25</f>
        <v>0.83333333333333337</v>
      </c>
      <c r="I25" s="233">
        <f t="shared" ref="I25" si="10">H25*J25</f>
        <v>54.166666666666671</v>
      </c>
      <c r="J25" s="90">
        <f>(YEAR(F25)-YEAR(S25))*12+MONTH(F25)-MONTH(S25)</f>
        <v>65</v>
      </c>
      <c r="K25" s="233">
        <f>L25*H25</f>
        <v>45.833333333333336</v>
      </c>
      <c r="L25" s="90">
        <f>G25-J25</f>
        <v>55</v>
      </c>
      <c r="M25" s="233">
        <f>N25*H25</f>
        <v>5.8333333333333339</v>
      </c>
      <c r="N25" s="90">
        <v>7</v>
      </c>
      <c r="O25" s="233">
        <f t="shared" ref="O25" si="11">K25-M25</f>
        <v>40</v>
      </c>
      <c r="P25" s="90">
        <f t="shared" ref="P25" si="12">L25-N25</f>
        <v>48</v>
      </c>
      <c r="Q25" s="90">
        <f t="shared" ref="Q25" si="13">M25-O25</f>
        <v>-34.166666666666664</v>
      </c>
      <c r="R25" s="179" t="s">
        <v>507</v>
      </c>
      <c r="S25" s="52">
        <v>40179</v>
      </c>
      <c r="T25" s="9">
        <v>2700</v>
      </c>
      <c r="U25" s="116"/>
      <c r="V25" s="222">
        <v>270</v>
      </c>
      <c r="W25" s="222">
        <v>1350</v>
      </c>
      <c r="X25" s="98">
        <v>22.5</v>
      </c>
      <c r="Y25" s="152">
        <f>X25*5</f>
        <v>112.5</v>
      </c>
      <c r="Z25" s="341">
        <f>W25-Y25</f>
        <v>1237.5</v>
      </c>
      <c r="AA25" s="100">
        <v>115.958</v>
      </c>
      <c r="AB25" s="100">
        <v>140.047</v>
      </c>
      <c r="AC25" s="100">
        <f>AA25/AB25</f>
        <v>0.82799345933865065</v>
      </c>
      <c r="AD25" s="98">
        <f>Z25*M25/100/K25*100/7</f>
        <v>22.500000000000004</v>
      </c>
      <c r="AE25" s="98">
        <f>AD25*AC25</f>
        <v>18.629852835119642</v>
      </c>
      <c r="AF25" s="98"/>
      <c r="AG25" s="98"/>
      <c r="AH25" s="98"/>
      <c r="AI25" s="98"/>
      <c r="AJ25" s="98"/>
      <c r="AK25" s="98">
        <f>AE25</f>
        <v>18.629852835119642</v>
      </c>
      <c r="AL25" s="98">
        <v>18.629852835119642</v>
      </c>
      <c r="AM25" s="98">
        <v>18.629852835119642</v>
      </c>
      <c r="AN25" s="98">
        <v>18.629852835119642</v>
      </c>
      <c r="AO25" s="98">
        <v>18.629852835119642</v>
      </c>
      <c r="AP25" s="98">
        <v>18.629852835119642</v>
      </c>
      <c r="AQ25" s="98">
        <v>18.629852835119642</v>
      </c>
      <c r="AR25" s="98">
        <f>SUM(AF25:AQ25)</f>
        <v>130.40896984583748</v>
      </c>
      <c r="AS25" s="116">
        <f>Z25-AR25</f>
        <v>1107.0910301541626</v>
      </c>
    </row>
    <row r="26" spans="1:47" s="22" customFormat="1" x14ac:dyDescent="0.2">
      <c r="A26" s="172" t="s">
        <v>68</v>
      </c>
      <c r="B26" s="172"/>
      <c r="C26" s="178"/>
      <c r="D26" s="157"/>
      <c r="E26" s="157"/>
      <c r="F26" s="88"/>
      <c r="G26" s="179"/>
      <c r="H26" s="201"/>
      <c r="I26" s="233"/>
      <c r="J26" s="90"/>
      <c r="K26" s="233"/>
      <c r="L26" s="90"/>
      <c r="M26" s="233"/>
      <c r="N26" s="90"/>
      <c r="O26" s="233"/>
      <c r="P26" s="90"/>
      <c r="Q26" s="90"/>
      <c r="R26" s="179"/>
      <c r="S26" s="171"/>
      <c r="T26" s="11"/>
      <c r="U26" s="116"/>
      <c r="V26" s="222"/>
      <c r="W26" s="222"/>
      <c r="X26" s="98"/>
      <c r="Y26" s="152"/>
      <c r="Z26" s="341"/>
      <c r="AA26" s="100"/>
      <c r="AB26" s="127"/>
      <c r="AC26" s="100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116"/>
    </row>
    <row r="27" spans="1:47" s="22" customFormat="1" x14ac:dyDescent="0.2">
      <c r="A27" s="172" t="s">
        <v>115</v>
      </c>
      <c r="B27" s="13"/>
      <c r="C27" s="87"/>
      <c r="D27" s="101"/>
      <c r="E27" s="184"/>
      <c r="F27" s="29"/>
      <c r="G27" s="179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9"/>
      <c r="S27" s="182"/>
      <c r="T27" s="183"/>
      <c r="U27" s="116"/>
      <c r="V27" s="222"/>
      <c r="W27" s="222"/>
      <c r="X27" s="98"/>
      <c r="Y27" s="152"/>
      <c r="Z27" s="341"/>
      <c r="AA27" s="100"/>
      <c r="AB27" s="125"/>
      <c r="AC27" s="100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116"/>
    </row>
    <row r="28" spans="1:47" s="22" customFormat="1" x14ac:dyDescent="0.2">
      <c r="A28" s="171" t="s">
        <v>528</v>
      </c>
      <c r="B28" s="145" t="s">
        <v>529</v>
      </c>
      <c r="C28" s="87" t="s">
        <v>499</v>
      </c>
      <c r="D28" s="101">
        <v>10</v>
      </c>
      <c r="E28" s="48">
        <v>0.1</v>
      </c>
      <c r="F28" s="88">
        <v>42185</v>
      </c>
      <c r="G28" s="179">
        <v>120</v>
      </c>
      <c r="H28" s="201">
        <f>100/G28</f>
        <v>0.83333333333333337</v>
      </c>
      <c r="I28" s="233">
        <f t="shared" ref="I28" si="14">H28*J28</f>
        <v>14.166666666666668</v>
      </c>
      <c r="J28" s="90">
        <f>(YEAR(F28)-YEAR(S28))*12+MONTH(F28)-MONTH(S28)</f>
        <v>17</v>
      </c>
      <c r="K28" s="233">
        <f>L28*H28</f>
        <v>85.833333333333343</v>
      </c>
      <c r="L28" s="90">
        <f>G28-J28</f>
        <v>103</v>
      </c>
      <c r="M28" s="233">
        <f>N28*H28</f>
        <v>5.8333333333333339</v>
      </c>
      <c r="N28" s="90">
        <v>7</v>
      </c>
      <c r="O28" s="233">
        <f t="shared" ref="O28" si="15">K28-M28</f>
        <v>80.000000000000014</v>
      </c>
      <c r="P28" s="90">
        <f t="shared" ref="P28" si="16">L28-N28</f>
        <v>96</v>
      </c>
      <c r="Q28" s="90">
        <f t="shared" ref="Q28" si="17">M28-O28</f>
        <v>-74.166666666666686</v>
      </c>
      <c r="R28" s="179" t="s">
        <v>507</v>
      </c>
      <c r="S28" s="52">
        <v>41640</v>
      </c>
      <c r="T28" s="9">
        <v>110</v>
      </c>
      <c r="U28" s="116"/>
      <c r="V28" s="222">
        <v>11.03</v>
      </c>
      <c r="W28" s="222">
        <v>54.97</v>
      </c>
      <c r="X28" s="98">
        <v>0.92</v>
      </c>
      <c r="Y28" s="152">
        <f>X28*5</f>
        <v>4.6000000000000005</v>
      </c>
      <c r="Z28" s="341">
        <f>W28-Y28</f>
        <v>50.37</v>
      </c>
      <c r="AA28" s="100">
        <v>115.958</v>
      </c>
      <c r="AB28" s="100">
        <v>112.505</v>
      </c>
      <c r="AC28" s="100">
        <f>AA28/AB28</f>
        <v>1.0306919692458114</v>
      </c>
      <c r="AD28" s="98">
        <f>Z28*M28/100/K28*100/7</f>
        <v>0.48902912621359224</v>
      </c>
      <c r="AE28" s="98">
        <f>AD28*AC28</f>
        <v>0.5040383931156458</v>
      </c>
      <c r="AF28" s="98"/>
      <c r="AG28" s="98"/>
      <c r="AH28" s="98"/>
      <c r="AI28" s="98"/>
      <c r="AJ28" s="98"/>
      <c r="AK28" s="98">
        <f>AE28</f>
        <v>0.5040383931156458</v>
      </c>
      <c r="AL28" s="98">
        <v>0.5040383931156458</v>
      </c>
      <c r="AM28" s="98">
        <v>0.5040383931156458</v>
      </c>
      <c r="AN28" s="98">
        <v>0.5040383931156458</v>
      </c>
      <c r="AO28" s="98">
        <v>0.5040383931156458</v>
      </c>
      <c r="AP28" s="98">
        <v>0.5040383931156458</v>
      </c>
      <c r="AQ28" s="98">
        <v>0.5040383931156458</v>
      </c>
      <c r="AR28" s="98">
        <f>SUM(AF28:AQ28)</f>
        <v>3.5282687518095206</v>
      </c>
      <c r="AS28" s="116">
        <f>Z28-AR28</f>
        <v>46.841731248190477</v>
      </c>
    </row>
    <row r="29" spans="1:47" s="22" customFormat="1" x14ac:dyDescent="0.2">
      <c r="A29" s="41" t="s">
        <v>131</v>
      </c>
      <c r="B29" s="41"/>
      <c r="C29" s="178"/>
      <c r="D29" s="157"/>
      <c r="E29" s="38"/>
      <c r="F29" s="88"/>
      <c r="G29" s="179"/>
      <c r="H29" s="201"/>
      <c r="I29" s="233"/>
      <c r="J29" s="90"/>
      <c r="K29" s="233"/>
      <c r="L29" s="90"/>
      <c r="M29" s="233"/>
      <c r="N29" s="90"/>
      <c r="O29" s="233"/>
      <c r="P29" s="90"/>
      <c r="Q29" s="90"/>
      <c r="R29" s="179"/>
      <c r="S29" s="171"/>
      <c r="T29" s="11"/>
      <c r="U29" s="116"/>
      <c r="V29" s="222"/>
      <c r="W29" s="222"/>
      <c r="X29" s="98"/>
      <c r="Y29" s="152"/>
      <c r="Z29" s="341"/>
      <c r="AA29" s="100"/>
      <c r="AB29" s="196"/>
      <c r="AC29" s="100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116"/>
    </row>
    <row r="30" spans="1:47" s="22" customFormat="1" x14ac:dyDescent="0.2">
      <c r="A30" s="41" t="s">
        <v>131</v>
      </c>
      <c r="B30" s="41"/>
      <c r="C30" s="178"/>
      <c r="D30" s="157"/>
      <c r="E30" s="38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9"/>
      <c r="S30" s="171"/>
      <c r="T30" s="11"/>
      <c r="U30" s="18"/>
      <c r="V30" s="18"/>
      <c r="W30" s="18"/>
      <c r="X30" s="18"/>
      <c r="Y30" s="154"/>
      <c r="Z30" s="110"/>
      <c r="AA30" s="110"/>
      <c r="AB30" s="196"/>
      <c r="AC30" s="110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17"/>
    </row>
    <row r="31" spans="1:47" s="22" customFormat="1" x14ac:dyDescent="0.2">
      <c r="A31" s="172" t="s">
        <v>516</v>
      </c>
      <c r="B31" s="13"/>
      <c r="C31" s="87"/>
      <c r="D31" s="101"/>
      <c r="E31" s="48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9"/>
      <c r="S31" s="182"/>
      <c r="T31" s="11"/>
      <c r="U31" s="18"/>
      <c r="V31" s="18"/>
      <c r="W31" s="18"/>
      <c r="X31" s="18"/>
      <c r="Y31" s="154"/>
      <c r="Z31" s="110"/>
      <c r="AA31" s="110"/>
      <c r="AB31" s="129"/>
      <c r="AC31" s="110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17"/>
    </row>
    <row r="32" spans="1:47" s="22" customFormat="1" x14ac:dyDescent="0.2">
      <c r="A32" s="171" t="s">
        <v>512</v>
      </c>
      <c r="B32" s="145" t="s">
        <v>513</v>
      </c>
      <c r="C32" s="87" t="s">
        <v>499</v>
      </c>
      <c r="D32" s="101">
        <v>10</v>
      </c>
      <c r="E32" s="48">
        <v>0.1</v>
      </c>
      <c r="F32" s="88">
        <v>42185</v>
      </c>
      <c r="G32" s="179">
        <v>120</v>
      </c>
      <c r="H32" s="201">
        <f t="shared" ref="H32:H39" si="18">100/G32</f>
        <v>0.83333333333333337</v>
      </c>
      <c r="I32" s="233">
        <f t="shared" ref="I32" si="19">H32*J32</f>
        <v>14.166666666666668</v>
      </c>
      <c r="J32" s="90">
        <f t="shared" ref="J32:J39" si="20">(YEAR(F32)-YEAR(S32))*12+MONTH(F32)-MONTH(S32)</f>
        <v>17</v>
      </c>
      <c r="K32" s="233">
        <f t="shared" ref="K32:K39" si="21">L32*H32</f>
        <v>85.833333333333343</v>
      </c>
      <c r="L32" s="90">
        <f t="shared" ref="L32:L39" si="22">G32-J32</f>
        <v>103</v>
      </c>
      <c r="M32" s="233">
        <f t="shared" ref="M32:M39" si="23">N32*H32</f>
        <v>5.8333333333333339</v>
      </c>
      <c r="N32" s="90">
        <v>7</v>
      </c>
      <c r="O32" s="233">
        <f t="shared" ref="O32" si="24">K32-M32</f>
        <v>80.000000000000014</v>
      </c>
      <c r="P32" s="90">
        <f t="shared" ref="P32" si="25">L32-N32</f>
        <v>96</v>
      </c>
      <c r="Q32" s="90">
        <f t="shared" ref="Q32" si="26">M32-O32</f>
        <v>-74.166666666666686</v>
      </c>
      <c r="R32" s="179" t="s">
        <v>507</v>
      </c>
      <c r="S32" s="186">
        <v>41640</v>
      </c>
      <c r="T32" s="169">
        <v>176</v>
      </c>
      <c r="U32" s="116"/>
      <c r="V32" s="222">
        <v>17.630000000000003</v>
      </c>
      <c r="W32" s="222">
        <v>158.37</v>
      </c>
      <c r="X32" s="98">
        <v>1.47</v>
      </c>
      <c r="Y32" s="152">
        <f t="shared" ref="Y32:Y39" si="27">X32*5</f>
        <v>7.35</v>
      </c>
      <c r="Z32" s="341">
        <f t="shared" ref="Z32:Z39" si="28">W32-Y32</f>
        <v>151.02000000000001</v>
      </c>
      <c r="AA32" s="100">
        <v>115.958</v>
      </c>
      <c r="AB32" s="129">
        <v>112.505</v>
      </c>
      <c r="AC32" s="100">
        <f t="shared" ref="AC32:AC39" si="29">AA32/AB32</f>
        <v>1.0306919692458114</v>
      </c>
      <c r="AD32" s="98">
        <f t="shared" ref="AD32:AD39" si="30">Z32*M32/100/K32*100/7</f>
        <v>1.4662135922330097</v>
      </c>
      <c r="AE32" s="98">
        <f t="shared" ref="AE32:AE39" si="31">AD32*AC32</f>
        <v>1.5112145747136159</v>
      </c>
      <c r="AF32" s="98"/>
      <c r="AG32" s="98"/>
      <c r="AH32" s="98"/>
      <c r="AI32" s="98"/>
      <c r="AJ32" s="98"/>
      <c r="AK32" s="98">
        <f t="shared" ref="AK32:AK39" si="32">AE32</f>
        <v>1.5112145747136159</v>
      </c>
      <c r="AL32" s="98">
        <v>1.5112145747136159</v>
      </c>
      <c r="AM32" s="98">
        <v>1.5112145747136159</v>
      </c>
      <c r="AN32" s="98">
        <v>1.5112145747136159</v>
      </c>
      <c r="AO32" s="98">
        <v>1.5112145747136159</v>
      </c>
      <c r="AP32" s="98">
        <v>1.5112145747136159</v>
      </c>
      <c r="AQ32" s="98">
        <v>1.5112145747136159</v>
      </c>
      <c r="AR32" s="98">
        <f t="shared" ref="AR32:AR39" si="33">SUM(AF32:AQ32)</f>
        <v>10.578502022995311</v>
      </c>
      <c r="AS32" s="116">
        <f t="shared" ref="AS32:AS39" si="34">Z32-AR32</f>
        <v>140.4414979770047</v>
      </c>
    </row>
    <row r="33" spans="1:45" s="22" customFormat="1" x14ac:dyDescent="0.2">
      <c r="A33" s="171" t="s">
        <v>512</v>
      </c>
      <c r="B33" s="145" t="s">
        <v>513</v>
      </c>
      <c r="C33" s="87" t="s">
        <v>499</v>
      </c>
      <c r="D33" s="101">
        <v>10</v>
      </c>
      <c r="E33" s="48">
        <v>0.1</v>
      </c>
      <c r="F33" s="88">
        <v>42185</v>
      </c>
      <c r="G33" s="179">
        <v>120</v>
      </c>
      <c r="H33" s="201">
        <f t="shared" si="18"/>
        <v>0.83333333333333337</v>
      </c>
      <c r="I33" s="233">
        <f t="shared" ref="I33:I34" si="35">H33*J33</f>
        <v>14.166666666666668</v>
      </c>
      <c r="J33" s="90">
        <f t="shared" si="20"/>
        <v>17</v>
      </c>
      <c r="K33" s="233">
        <f t="shared" si="21"/>
        <v>85.833333333333343</v>
      </c>
      <c r="L33" s="90">
        <f t="shared" si="22"/>
        <v>103</v>
      </c>
      <c r="M33" s="233">
        <f t="shared" si="23"/>
        <v>5.8333333333333339</v>
      </c>
      <c r="N33" s="90">
        <v>7</v>
      </c>
      <c r="O33" s="233">
        <f t="shared" ref="O33:O34" si="36">K33-M33</f>
        <v>80.000000000000014</v>
      </c>
      <c r="P33" s="90">
        <f t="shared" ref="P33:P34" si="37">L33-N33</f>
        <v>96</v>
      </c>
      <c r="Q33" s="90">
        <f t="shared" ref="Q33:Q34" si="38">M33-O33</f>
        <v>-74.166666666666686</v>
      </c>
      <c r="R33" s="179" t="s">
        <v>507</v>
      </c>
      <c r="S33" s="186">
        <v>41640</v>
      </c>
      <c r="T33" s="169">
        <v>176</v>
      </c>
      <c r="U33" s="116"/>
      <c r="V33" s="222">
        <v>17.630000000000003</v>
      </c>
      <c r="W33" s="222">
        <v>158.37</v>
      </c>
      <c r="X33" s="98">
        <v>1.47</v>
      </c>
      <c r="Y33" s="152">
        <f t="shared" si="27"/>
        <v>7.35</v>
      </c>
      <c r="Z33" s="341">
        <f t="shared" si="28"/>
        <v>151.02000000000001</v>
      </c>
      <c r="AA33" s="100">
        <v>115.958</v>
      </c>
      <c r="AB33" s="129">
        <v>112.505</v>
      </c>
      <c r="AC33" s="100">
        <f t="shared" si="29"/>
        <v>1.0306919692458114</v>
      </c>
      <c r="AD33" s="98">
        <f t="shared" si="30"/>
        <v>1.4662135922330097</v>
      </c>
      <c r="AE33" s="98">
        <f t="shared" si="31"/>
        <v>1.5112145747136159</v>
      </c>
      <c r="AF33" s="98"/>
      <c r="AG33" s="98"/>
      <c r="AH33" s="98"/>
      <c r="AI33" s="98"/>
      <c r="AJ33" s="98"/>
      <c r="AK33" s="98">
        <f t="shared" si="32"/>
        <v>1.5112145747136159</v>
      </c>
      <c r="AL33" s="98">
        <v>1.5112145747136159</v>
      </c>
      <c r="AM33" s="98">
        <v>1.5112145747136159</v>
      </c>
      <c r="AN33" s="98">
        <v>1.5112145747136159</v>
      </c>
      <c r="AO33" s="98">
        <v>1.5112145747136159</v>
      </c>
      <c r="AP33" s="98">
        <v>1.5112145747136159</v>
      </c>
      <c r="AQ33" s="98">
        <v>1.5112145747136159</v>
      </c>
      <c r="AR33" s="98">
        <f t="shared" si="33"/>
        <v>10.578502022995311</v>
      </c>
      <c r="AS33" s="116">
        <f t="shared" si="34"/>
        <v>140.4414979770047</v>
      </c>
    </row>
    <row r="34" spans="1:45" s="22" customFormat="1" x14ac:dyDescent="0.2">
      <c r="A34" s="171" t="s">
        <v>512</v>
      </c>
      <c r="B34" s="145" t="s">
        <v>513</v>
      </c>
      <c r="C34" s="87" t="s">
        <v>499</v>
      </c>
      <c r="D34" s="101">
        <v>10</v>
      </c>
      <c r="E34" s="48">
        <v>0.1</v>
      </c>
      <c r="F34" s="88">
        <v>42185</v>
      </c>
      <c r="G34" s="179">
        <v>120</v>
      </c>
      <c r="H34" s="201">
        <f t="shared" si="18"/>
        <v>0.83333333333333337</v>
      </c>
      <c r="I34" s="233">
        <f t="shared" si="35"/>
        <v>14.166666666666668</v>
      </c>
      <c r="J34" s="90">
        <f t="shared" si="20"/>
        <v>17</v>
      </c>
      <c r="K34" s="233">
        <f t="shared" si="21"/>
        <v>85.833333333333343</v>
      </c>
      <c r="L34" s="90">
        <f t="shared" si="22"/>
        <v>103</v>
      </c>
      <c r="M34" s="233">
        <f t="shared" si="23"/>
        <v>5.8333333333333339</v>
      </c>
      <c r="N34" s="90">
        <v>7</v>
      </c>
      <c r="O34" s="233">
        <f t="shared" si="36"/>
        <v>80.000000000000014</v>
      </c>
      <c r="P34" s="90">
        <f t="shared" si="37"/>
        <v>96</v>
      </c>
      <c r="Q34" s="90">
        <f t="shared" si="38"/>
        <v>-74.166666666666686</v>
      </c>
      <c r="R34" s="179" t="s">
        <v>507</v>
      </c>
      <c r="S34" s="186">
        <v>41640</v>
      </c>
      <c r="T34" s="169">
        <v>176</v>
      </c>
      <c r="U34" s="116"/>
      <c r="V34" s="222">
        <v>17.630000000000003</v>
      </c>
      <c r="W34" s="222">
        <v>158.37</v>
      </c>
      <c r="X34" s="98">
        <v>1.47</v>
      </c>
      <c r="Y34" s="152">
        <f t="shared" si="27"/>
        <v>7.35</v>
      </c>
      <c r="Z34" s="341">
        <f t="shared" si="28"/>
        <v>151.02000000000001</v>
      </c>
      <c r="AA34" s="100">
        <v>115.958</v>
      </c>
      <c r="AB34" s="129">
        <v>112.505</v>
      </c>
      <c r="AC34" s="100">
        <f t="shared" si="29"/>
        <v>1.0306919692458114</v>
      </c>
      <c r="AD34" s="98">
        <f t="shared" si="30"/>
        <v>1.4662135922330097</v>
      </c>
      <c r="AE34" s="98">
        <f t="shared" si="31"/>
        <v>1.5112145747136159</v>
      </c>
      <c r="AF34" s="98"/>
      <c r="AG34" s="98"/>
      <c r="AH34" s="98"/>
      <c r="AI34" s="98"/>
      <c r="AJ34" s="98"/>
      <c r="AK34" s="98">
        <f t="shared" si="32"/>
        <v>1.5112145747136159</v>
      </c>
      <c r="AL34" s="98">
        <v>1.5112145747136159</v>
      </c>
      <c r="AM34" s="98">
        <v>1.5112145747136159</v>
      </c>
      <c r="AN34" s="98">
        <v>1.5112145747136159</v>
      </c>
      <c r="AO34" s="98">
        <v>1.5112145747136159</v>
      </c>
      <c r="AP34" s="98">
        <v>1.5112145747136159</v>
      </c>
      <c r="AQ34" s="98">
        <v>1.5112145747136159</v>
      </c>
      <c r="AR34" s="98">
        <f t="shared" si="33"/>
        <v>10.578502022995311</v>
      </c>
      <c r="AS34" s="116">
        <f t="shared" si="34"/>
        <v>140.4414979770047</v>
      </c>
    </row>
    <row r="35" spans="1:45" s="22" customFormat="1" x14ac:dyDescent="0.2">
      <c r="A35" s="171" t="s">
        <v>512</v>
      </c>
      <c r="B35" s="145" t="s">
        <v>514</v>
      </c>
      <c r="C35" s="87" t="s">
        <v>499</v>
      </c>
      <c r="D35" s="101">
        <v>10</v>
      </c>
      <c r="E35" s="48">
        <v>0.1</v>
      </c>
      <c r="F35" s="88">
        <v>42185</v>
      </c>
      <c r="G35" s="179">
        <v>120</v>
      </c>
      <c r="H35" s="201">
        <f t="shared" si="18"/>
        <v>0.83333333333333337</v>
      </c>
      <c r="I35" s="233">
        <f t="shared" ref="I35:I39" si="39">H35*J35</f>
        <v>14.166666666666668</v>
      </c>
      <c r="J35" s="90">
        <f t="shared" si="20"/>
        <v>17</v>
      </c>
      <c r="K35" s="233">
        <f t="shared" si="21"/>
        <v>85.833333333333343</v>
      </c>
      <c r="L35" s="90">
        <f t="shared" si="22"/>
        <v>103</v>
      </c>
      <c r="M35" s="233">
        <f t="shared" si="23"/>
        <v>5.8333333333333339</v>
      </c>
      <c r="N35" s="90">
        <v>7</v>
      </c>
      <c r="O35" s="233">
        <f t="shared" ref="O35:O39" si="40">K35-M35</f>
        <v>80.000000000000014</v>
      </c>
      <c r="P35" s="90">
        <f t="shared" ref="P35:P39" si="41">L35-N35</f>
        <v>96</v>
      </c>
      <c r="Q35" s="90">
        <f t="shared" ref="Q35:Q39" si="42">M35-O35</f>
        <v>-74.166666666666686</v>
      </c>
      <c r="R35" s="179" t="s">
        <v>507</v>
      </c>
      <c r="S35" s="186">
        <v>41640</v>
      </c>
      <c r="T35" s="169">
        <v>1610</v>
      </c>
      <c r="U35" s="116"/>
      <c r="V35" s="222">
        <v>161.02999999999997</v>
      </c>
      <c r="W35" s="222">
        <v>1448.97</v>
      </c>
      <c r="X35" s="98">
        <v>13.42</v>
      </c>
      <c r="Y35" s="152">
        <f t="shared" si="27"/>
        <v>67.099999999999994</v>
      </c>
      <c r="Z35" s="341">
        <f t="shared" si="28"/>
        <v>1381.8700000000001</v>
      </c>
      <c r="AA35" s="100">
        <v>115.958</v>
      </c>
      <c r="AB35" s="129">
        <v>112.505</v>
      </c>
      <c r="AC35" s="100">
        <f t="shared" si="29"/>
        <v>1.0306919692458114</v>
      </c>
      <c r="AD35" s="98">
        <f t="shared" si="30"/>
        <v>13.41621359223301</v>
      </c>
      <c r="AE35" s="98">
        <f t="shared" si="31"/>
        <v>13.827983607201062</v>
      </c>
      <c r="AF35" s="98"/>
      <c r="AG35" s="98"/>
      <c r="AH35" s="98"/>
      <c r="AI35" s="98"/>
      <c r="AJ35" s="98"/>
      <c r="AK35" s="98">
        <f t="shared" si="32"/>
        <v>13.827983607201062</v>
      </c>
      <c r="AL35" s="98">
        <v>13.827983607201062</v>
      </c>
      <c r="AM35" s="98">
        <v>13.827983607201062</v>
      </c>
      <c r="AN35" s="98">
        <v>13.827983607201062</v>
      </c>
      <c r="AO35" s="98">
        <v>13.827983607201062</v>
      </c>
      <c r="AP35" s="98">
        <v>13.827983607201062</v>
      </c>
      <c r="AQ35" s="98">
        <v>13.827983607201062</v>
      </c>
      <c r="AR35" s="98">
        <f t="shared" si="33"/>
        <v>96.795885250407437</v>
      </c>
      <c r="AS35" s="116">
        <f t="shared" si="34"/>
        <v>1285.0741147495926</v>
      </c>
    </row>
    <row r="36" spans="1:45" s="22" customFormat="1" x14ac:dyDescent="0.2">
      <c r="A36" s="171" t="s">
        <v>512</v>
      </c>
      <c r="B36" s="145" t="s">
        <v>523</v>
      </c>
      <c r="C36" s="87" t="s">
        <v>499</v>
      </c>
      <c r="D36" s="101">
        <v>10</v>
      </c>
      <c r="E36" s="48">
        <v>0.1</v>
      </c>
      <c r="F36" s="88">
        <v>42185</v>
      </c>
      <c r="G36" s="179">
        <v>120</v>
      </c>
      <c r="H36" s="201">
        <f t="shared" si="18"/>
        <v>0.83333333333333337</v>
      </c>
      <c r="I36" s="233">
        <f t="shared" si="39"/>
        <v>14.166666666666668</v>
      </c>
      <c r="J36" s="90">
        <f t="shared" si="20"/>
        <v>17</v>
      </c>
      <c r="K36" s="233">
        <f t="shared" si="21"/>
        <v>85.833333333333343</v>
      </c>
      <c r="L36" s="90">
        <f t="shared" si="22"/>
        <v>103</v>
      </c>
      <c r="M36" s="233">
        <f t="shared" si="23"/>
        <v>5.8333333333333339</v>
      </c>
      <c r="N36" s="90">
        <v>7</v>
      </c>
      <c r="O36" s="233">
        <f t="shared" si="40"/>
        <v>80.000000000000014</v>
      </c>
      <c r="P36" s="90">
        <f t="shared" si="41"/>
        <v>96</v>
      </c>
      <c r="Q36" s="90">
        <f t="shared" si="42"/>
        <v>-74.166666666666686</v>
      </c>
      <c r="R36" s="179" t="s">
        <v>507</v>
      </c>
      <c r="S36" s="186">
        <v>41640</v>
      </c>
      <c r="T36" s="169">
        <v>338</v>
      </c>
      <c r="U36" s="116"/>
      <c r="V36" s="222">
        <v>33.83</v>
      </c>
      <c r="W36" s="222">
        <v>304.17</v>
      </c>
      <c r="X36" s="98">
        <v>2.82</v>
      </c>
      <c r="Y36" s="152">
        <f t="shared" si="27"/>
        <v>14.1</v>
      </c>
      <c r="Z36" s="341">
        <f t="shared" si="28"/>
        <v>290.07</v>
      </c>
      <c r="AA36" s="100">
        <v>115.958</v>
      </c>
      <c r="AB36" s="129">
        <v>112.505</v>
      </c>
      <c r="AC36" s="100">
        <f t="shared" si="29"/>
        <v>1.0306919692458114</v>
      </c>
      <c r="AD36" s="98">
        <f t="shared" si="30"/>
        <v>2.8162135922330096</v>
      </c>
      <c r="AE36" s="98">
        <f t="shared" si="31"/>
        <v>2.9026487331954614</v>
      </c>
      <c r="AF36" s="98"/>
      <c r="AG36" s="98"/>
      <c r="AH36" s="98"/>
      <c r="AI36" s="98"/>
      <c r="AJ36" s="98"/>
      <c r="AK36" s="98">
        <f t="shared" si="32"/>
        <v>2.9026487331954614</v>
      </c>
      <c r="AL36" s="98">
        <v>2.9026487331954614</v>
      </c>
      <c r="AM36" s="98">
        <v>2.9026487331954614</v>
      </c>
      <c r="AN36" s="98">
        <v>2.9026487331954614</v>
      </c>
      <c r="AO36" s="98">
        <v>2.9026487331954614</v>
      </c>
      <c r="AP36" s="98">
        <v>2.9026487331954614</v>
      </c>
      <c r="AQ36" s="98">
        <v>2.9026487331954614</v>
      </c>
      <c r="AR36" s="98">
        <f t="shared" si="33"/>
        <v>20.318541132368232</v>
      </c>
      <c r="AS36" s="116">
        <f t="shared" si="34"/>
        <v>269.75145886763175</v>
      </c>
    </row>
    <row r="37" spans="1:45" s="22" customFormat="1" x14ac:dyDescent="0.2">
      <c r="A37" s="171" t="s">
        <v>512</v>
      </c>
      <c r="B37" s="145" t="s">
        <v>520</v>
      </c>
      <c r="C37" s="87" t="s">
        <v>499</v>
      </c>
      <c r="D37" s="101">
        <v>10</v>
      </c>
      <c r="E37" s="48">
        <v>0.1</v>
      </c>
      <c r="F37" s="88">
        <v>42185</v>
      </c>
      <c r="G37" s="179">
        <v>120</v>
      </c>
      <c r="H37" s="201">
        <f t="shared" si="18"/>
        <v>0.83333333333333337</v>
      </c>
      <c r="I37" s="233">
        <f t="shared" si="39"/>
        <v>14.166666666666668</v>
      </c>
      <c r="J37" s="90">
        <f t="shared" si="20"/>
        <v>17</v>
      </c>
      <c r="K37" s="233">
        <f t="shared" si="21"/>
        <v>85.833333333333343</v>
      </c>
      <c r="L37" s="90">
        <f t="shared" si="22"/>
        <v>103</v>
      </c>
      <c r="M37" s="233">
        <f t="shared" si="23"/>
        <v>5.8333333333333339</v>
      </c>
      <c r="N37" s="90">
        <v>7</v>
      </c>
      <c r="O37" s="233">
        <f t="shared" si="40"/>
        <v>80.000000000000014</v>
      </c>
      <c r="P37" s="90">
        <f t="shared" si="41"/>
        <v>96</v>
      </c>
      <c r="Q37" s="90">
        <f t="shared" si="42"/>
        <v>-74.166666666666686</v>
      </c>
      <c r="R37" s="179" t="s">
        <v>507</v>
      </c>
      <c r="S37" s="186">
        <v>41640</v>
      </c>
      <c r="T37" s="169">
        <v>418</v>
      </c>
      <c r="U37" s="116"/>
      <c r="V37" s="222">
        <v>41.769999999999996</v>
      </c>
      <c r="W37" s="222">
        <v>376.23</v>
      </c>
      <c r="X37" s="98">
        <v>3.48</v>
      </c>
      <c r="Y37" s="152">
        <f t="shared" si="27"/>
        <v>17.399999999999999</v>
      </c>
      <c r="Z37" s="341">
        <f t="shared" si="28"/>
        <v>358.83000000000004</v>
      </c>
      <c r="AA37" s="100">
        <v>115.958</v>
      </c>
      <c r="AB37" s="129">
        <v>112.505</v>
      </c>
      <c r="AC37" s="100">
        <f t="shared" si="29"/>
        <v>1.0306919692458114</v>
      </c>
      <c r="AD37" s="98">
        <f t="shared" si="30"/>
        <v>3.4837864077669916</v>
      </c>
      <c r="AE37" s="98">
        <f t="shared" si="31"/>
        <v>3.5907106730531519</v>
      </c>
      <c r="AF37" s="98"/>
      <c r="AG37" s="98"/>
      <c r="AH37" s="98"/>
      <c r="AI37" s="98"/>
      <c r="AJ37" s="98"/>
      <c r="AK37" s="98">
        <f t="shared" si="32"/>
        <v>3.5907106730531519</v>
      </c>
      <c r="AL37" s="98">
        <v>3.5907106730531519</v>
      </c>
      <c r="AM37" s="98">
        <v>3.5907106730531519</v>
      </c>
      <c r="AN37" s="98">
        <v>3.5907106730531519</v>
      </c>
      <c r="AO37" s="98">
        <v>3.5907106730531519</v>
      </c>
      <c r="AP37" s="98">
        <v>3.5907106730531519</v>
      </c>
      <c r="AQ37" s="98">
        <v>3.5907106730531519</v>
      </c>
      <c r="AR37" s="98">
        <f t="shared" si="33"/>
        <v>25.134974711372063</v>
      </c>
      <c r="AS37" s="116">
        <f t="shared" si="34"/>
        <v>333.69502528862796</v>
      </c>
    </row>
    <row r="38" spans="1:45" s="22" customFormat="1" x14ac:dyDescent="0.2">
      <c r="A38" s="171" t="s">
        <v>512</v>
      </c>
      <c r="B38" s="145" t="s">
        <v>522</v>
      </c>
      <c r="C38" s="87" t="s">
        <v>499</v>
      </c>
      <c r="D38" s="101">
        <v>10</v>
      </c>
      <c r="E38" s="48">
        <v>0.1</v>
      </c>
      <c r="F38" s="88">
        <v>42185</v>
      </c>
      <c r="G38" s="179">
        <v>120</v>
      </c>
      <c r="H38" s="201">
        <f t="shared" si="18"/>
        <v>0.83333333333333337</v>
      </c>
      <c r="I38" s="233">
        <f t="shared" si="39"/>
        <v>14.166666666666668</v>
      </c>
      <c r="J38" s="90">
        <f t="shared" si="20"/>
        <v>17</v>
      </c>
      <c r="K38" s="233">
        <f t="shared" si="21"/>
        <v>85.833333333333343</v>
      </c>
      <c r="L38" s="90">
        <f t="shared" si="22"/>
        <v>103</v>
      </c>
      <c r="M38" s="233">
        <f t="shared" si="23"/>
        <v>5.8333333333333339</v>
      </c>
      <c r="N38" s="90">
        <v>7</v>
      </c>
      <c r="O38" s="233">
        <f t="shared" si="40"/>
        <v>80.000000000000014</v>
      </c>
      <c r="P38" s="90">
        <f t="shared" si="41"/>
        <v>96</v>
      </c>
      <c r="Q38" s="90">
        <f t="shared" si="42"/>
        <v>-74.166666666666686</v>
      </c>
      <c r="R38" s="179" t="s">
        <v>507</v>
      </c>
      <c r="S38" s="186">
        <v>41640</v>
      </c>
      <c r="T38" s="169">
        <v>210</v>
      </c>
      <c r="U38" s="116"/>
      <c r="V38" s="222">
        <v>21</v>
      </c>
      <c r="W38" s="222">
        <v>189</v>
      </c>
      <c r="X38" s="98">
        <v>1.75</v>
      </c>
      <c r="Y38" s="152">
        <f t="shared" si="27"/>
        <v>8.75</v>
      </c>
      <c r="Z38" s="341">
        <f t="shared" si="28"/>
        <v>180.25</v>
      </c>
      <c r="AA38" s="100">
        <v>115.958</v>
      </c>
      <c r="AB38" s="129">
        <v>112.505</v>
      </c>
      <c r="AC38" s="100">
        <f t="shared" si="29"/>
        <v>1.0306919692458114</v>
      </c>
      <c r="AD38" s="98">
        <f t="shared" si="30"/>
        <v>1.75</v>
      </c>
      <c r="AE38" s="98">
        <f t="shared" si="31"/>
        <v>1.8037109461801699</v>
      </c>
      <c r="AF38" s="98"/>
      <c r="AG38" s="98"/>
      <c r="AH38" s="98"/>
      <c r="AI38" s="98"/>
      <c r="AJ38" s="98"/>
      <c r="AK38" s="98">
        <f t="shared" si="32"/>
        <v>1.8037109461801699</v>
      </c>
      <c r="AL38" s="98">
        <v>1.8037109461801699</v>
      </c>
      <c r="AM38" s="98">
        <v>1.8037109461801699</v>
      </c>
      <c r="AN38" s="98">
        <v>1.8037109461801699</v>
      </c>
      <c r="AO38" s="98">
        <v>1.8037109461801699</v>
      </c>
      <c r="AP38" s="98">
        <v>1.8037109461801699</v>
      </c>
      <c r="AQ38" s="98">
        <v>1.8037109461801699</v>
      </c>
      <c r="AR38" s="98">
        <f t="shared" si="33"/>
        <v>12.625976623261188</v>
      </c>
      <c r="AS38" s="116">
        <f t="shared" si="34"/>
        <v>167.62402337673882</v>
      </c>
    </row>
    <row r="39" spans="1:45" s="22" customFormat="1" x14ac:dyDescent="0.2">
      <c r="A39" s="171" t="s">
        <v>512</v>
      </c>
      <c r="B39" s="145" t="s">
        <v>521</v>
      </c>
      <c r="C39" s="87" t="s">
        <v>499</v>
      </c>
      <c r="D39" s="101">
        <v>10</v>
      </c>
      <c r="E39" s="48">
        <v>0.1</v>
      </c>
      <c r="F39" s="88">
        <v>42185</v>
      </c>
      <c r="G39" s="179">
        <v>120</v>
      </c>
      <c r="H39" s="201">
        <f t="shared" si="18"/>
        <v>0.83333333333333337</v>
      </c>
      <c r="I39" s="233">
        <f t="shared" si="39"/>
        <v>14.166666666666668</v>
      </c>
      <c r="J39" s="90">
        <f t="shared" si="20"/>
        <v>17</v>
      </c>
      <c r="K39" s="233">
        <f t="shared" si="21"/>
        <v>85.833333333333343</v>
      </c>
      <c r="L39" s="90">
        <f t="shared" si="22"/>
        <v>103</v>
      </c>
      <c r="M39" s="233">
        <f t="shared" si="23"/>
        <v>5.8333333333333339</v>
      </c>
      <c r="N39" s="90">
        <v>7</v>
      </c>
      <c r="O39" s="233">
        <f t="shared" si="40"/>
        <v>80.000000000000014</v>
      </c>
      <c r="P39" s="90">
        <f t="shared" si="41"/>
        <v>96</v>
      </c>
      <c r="Q39" s="90">
        <f t="shared" si="42"/>
        <v>-74.166666666666686</v>
      </c>
      <c r="R39" s="179" t="s">
        <v>507</v>
      </c>
      <c r="S39" s="186">
        <v>41640</v>
      </c>
      <c r="T39" s="169">
        <v>314</v>
      </c>
      <c r="U39" s="116"/>
      <c r="V39" s="222">
        <v>31.430000000000007</v>
      </c>
      <c r="W39" s="222">
        <v>282.57</v>
      </c>
      <c r="X39" s="98">
        <v>2.62</v>
      </c>
      <c r="Y39" s="152">
        <f t="shared" si="27"/>
        <v>13.100000000000001</v>
      </c>
      <c r="Z39" s="341">
        <f t="shared" si="28"/>
        <v>269.46999999999997</v>
      </c>
      <c r="AA39" s="100">
        <v>115.958</v>
      </c>
      <c r="AB39" s="129">
        <v>112.505</v>
      </c>
      <c r="AC39" s="100">
        <f t="shared" si="29"/>
        <v>1.0306919692458114</v>
      </c>
      <c r="AD39" s="98">
        <f t="shared" si="30"/>
        <v>2.6162135922330094</v>
      </c>
      <c r="AE39" s="98">
        <f t="shared" si="31"/>
        <v>2.6965103393462986</v>
      </c>
      <c r="AF39" s="98"/>
      <c r="AG39" s="98"/>
      <c r="AH39" s="98"/>
      <c r="AI39" s="98"/>
      <c r="AJ39" s="98"/>
      <c r="AK39" s="98">
        <f t="shared" si="32"/>
        <v>2.6965103393462986</v>
      </c>
      <c r="AL39" s="98">
        <v>2.6965103393462986</v>
      </c>
      <c r="AM39" s="98">
        <v>2.6965103393462986</v>
      </c>
      <c r="AN39" s="98">
        <v>2.6965103393462986</v>
      </c>
      <c r="AO39" s="98">
        <v>2.6965103393462986</v>
      </c>
      <c r="AP39" s="98">
        <v>2.6965103393462986</v>
      </c>
      <c r="AQ39" s="98">
        <v>2.6965103393462986</v>
      </c>
      <c r="AR39" s="98">
        <f t="shared" si="33"/>
        <v>18.875572375424092</v>
      </c>
      <c r="AS39" s="116">
        <f t="shared" si="34"/>
        <v>250.59442762457587</v>
      </c>
    </row>
    <row r="40" spans="1:45" s="22" customFormat="1" x14ac:dyDescent="0.2">
      <c r="A40" s="41" t="s">
        <v>131</v>
      </c>
      <c r="B40" s="41"/>
      <c r="C40" s="178"/>
      <c r="D40" s="157"/>
      <c r="E40" s="38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9"/>
      <c r="S40" s="171"/>
      <c r="T40" s="11"/>
      <c r="U40" s="18"/>
      <c r="V40" s="18"/>
      <c r="W40" s="18"/>
      <c r="X40" s="18"/>
      <c r="Y40" s="154"/>
      <c r="Z40" s="110"/>
      <c r="AA40" s="110"/>
      <c r="AB40" s="196"/>
      <c r="AC40" s="110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17"/>
    </row>
    <row r="41" spans="1:45" s="22" customFormat="1" x14ac:dyDescent="0.2">
      <c r="A41" s="172" t="s">
        <v>525</v>
      </c>
      <c r="B41" s="13"/>
      <c r="C41" s="87"/>
      <c r="D41" s="101"/>
      <c r="E41" s="48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9"/>
      <c r="S41" s="182"/>
      <c r="T41" s="11"/>
      <c r="U41" s="18"/>
      <c r="V41" s="18"/>
      <c r="W41" s="18"/>
      <c r="X41" s="18"/>
      <c r="Y41" s="154"/>
      <c r="Z41" s="110"/>
      <c r="AA41" s="110"/>
      <c r="AB41" s="129"/>
      <c r="AC41" s="110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17"/>
    </row>
    <row r="42" spans="1:45" s="22" customFormat="1" x14ac:dyDescent="0.2">
      <c r="A42" s="171" t="s">
        <v>358</v>
      </c>
      <c r="B42" s="145" t="s">
        <v>511</v>
      </c>
      <c r="C42" s="87" t="s">
        <v>539</v>
      </c>
      <c r="D42" s="101">
        <v>10</v>
      </c>
      <c r="E42" s="48">
        <v>0.1</v>
      </c>
      <c r="F42" s="88">
        <v>42185</v>
      </c>
      <c r="G42" s="179">
        <v>120</v>
      </c>
      <c r="H42" s="201">
        <f>100/G42</f>
        <v>0.83333333333333337</v>
      </c>
      <c r="I42" s="233">
        <f t="shared" ref="I42" si="43">H42*J42</f>
        <v>11.666666666666668</v>
      </c>
      <c r="J42" s="90">
        <f>(YEAR(F42)-YEAR(S42))*12+MONTH(F42)-MONTH(S42)</f>
        <v>14</v>
      </c>
      <c r="K42" s="233">
        <f>L42*H42</f>
        <v>88.333333333333343</v>
      </c>
      <c r="L42" s="90">
        <f>G42-J42</f>
        <v>106</v>
      </c>
      <c r="M42" s="233">
        <f>N42*H42</f>
        <v>5.8333333333333339</v>
      </c>
      <c r="N42" s="90">
        <v>7</v>
      </c>
      <c r="O42" s="233">
        <f t="shared" ref="O42" si="44">K42-M42</f>
        <v>82.500000000000014</v>
      </c>
      <c r="P42" s="90">
        <f t="shared" ref="P42" si="45">L42-N42</f>
        <v>99</v>
      </c>
      <c r="Q42" s="90">
        <f t="shared" ref="Q42" si="46">M42-O42</f>
        <v>-76.666666666666686</v>
      </c>
      <c r="R42" s="179" t="s">
        <v>507</v>
      </c>
      <c r="S42" s="186">
        <v>41743</v>
      </c>
      <c r="T42" s="169">
        <v>4251.8900000000003</v>
      </c>
      <c r="U42" s="116"/>
      <c r="V42" s="222">
        <v>318.87</v>
      </c>
      <c r="W42" s="222">
        <v>3933.0200000000004</v>
      </c>
      <c r="X42" s="98">
        <v>35.43</v>
      </c>
      <c r="Y42" s="152">
        <f>X42*5</f>
        <v>177.15</v>
      </c>
      <c r="Z42" s="341">
        <f>W42-Y42</f>
        <v>3755.8700000000003</v>
      </c>
      <c r="AA42" s="100">
        <v>115.958</v>
      </c>
      <c r="AB42" s="129">
        <v>112.88800000000001</v>
      </c>
      <c r="AC42" s="100">
        <f>AA42/AB42</f>
        <v>1.0271950960243781</v>
      </c>
      <c r="AD42" s="98">
        <f>Z42*M42/100/K42*100/7</f>
        <v>35.432735849056613</v>
      </c>
      <c r="AE42" s="98">
        <f>AD42*AC42</f>
        <v>36.396332502878131</v>
      </c>
      <c r="AF42" s="98"/>
      <c r="AG42" s="98"/>
      <c r="AH42" s="98"/>
      <c r="AI42" s="98"/>
      <c r="AJ42" s="98"/>
      <c r="AK42" s="98">
        <f>AE42</f>
        <v>36.396332502878131</v>
      </c>
      <c r="AL42" s="98">
        <v>36.396332502878131</v>
      </c>
      <c r="AM42" s="98">
        <v>36.396332502878131</v>
      </c>
      <c r="AN42" s="98">
        <v>36.396332502878131</v>
      </c>
      <c r="AO42" s="98">
        <v>36.396332502878131</v>
      </c>
      <c r="AP42" s="98">
        <v>36.396332502878131</v>
      </c>
      <c r="AQ42" s="98">
        <v>36.396332502878131</v>
      </c>
      <c r="AR42" s="98">
        <f>SUM(AF42:AQ42)</f>
        <v>254.7743275201469</v>
      </c>
      <c r="AS42" s="116">
        <f>Z42-AR42</f>
        <v>3501.0956724798534</v>
      </c>
    </row>
    <row r="43" spans="1:45" s="22" customFormat="1" x14ac:dyDescent="0.2">
      <c r="A43" s="41" t="s">
        <v>131</v>
      </c>
      <c r="B43" s="41"/>
      <c r="C43" s="178"/>
      <c r="D43" s="157"/>
      <c r="E43" s="38"/>
      <c r="F43" s="29"/>
      <c r="G43" s="179"/>
      <c r="H43" s="201"/>
      <c r="I43" s="233"/>
      <c r="J43" s="90"/>
      <c r="K43" s="233"/>
      <c r="L43" s="90"/>
      <c r="M43" s="233"/>
      <c r="N43" s="90"/>
      <c r="O43" s="233"/>
      <c r="P43" s="90"/>
      <c r="Q43" s="90"/>
      <c r="R43" s="179"/>
      <c r="S43" s="171"/>
      <c r="T43" s="11"/>
      <c r="U43" s="116"/>
      <c r="V43" s="222"/>
      <c r="W43" s="222"/>
      <c r="X43" s="98"/>
      <c r="Y43" s="152"/>
      <c r="Z43" s="341"/>
      <c r="AA43" s="100"/>
      <c r="AB43" s="196"/>
      <c r="AC43" s="100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116"/>
    </row>
    <row r="44" spans="1:45" s="22" customFormat="1" x14ac:dyDescent="0.2">
      <c r="A44" s="172" t="s">
        <v>525</v>
      </c>
      <c r="B44" s="13"/>
      <c r="C44" s="87"/>
      <c r="D44" s="101"/>
      <c r="E44" s="48"/>
      <c r="F44" s="29"/>
      <c r="G44" s="334"/>
      <c r="H44" s="201"/>
      <c r="I44" s="233"/>
      <c r="J44" s="90"/>
      <c r="K44" s="233"/>
      <c r="L44" s="90"/>
      <c r="M44" s="233"/>
      <c r="N44" s="90"/>
      <c r="O44" s="233"/>
      <c r="P44" s="90"/>
      <c r="Q44" s="90"/>
      <c r="R44" s="179"/>
      <c r="S44" s="182"/>
      <c r="T44" s="11"/>
      <c r="U44" s="116"/>
      <c r="V44" s="222"/>
      <c r="W44" s="222"/>
      <c r="X44" s="98"/>
      <c r="Y44" s="152"/>
      <c r="Z44" s="341"/>
      <c r="AA44" s="100"/>
      <c r="AB44" s="129"/>
      <c r="AC44" s="100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116"/>
    </row>
    <row r="45" spans="1:45" s="22" customFormat="1" x14ac:dyDescent="0.2">
      <c r="A45" s="171" t="s">
        <v>540</v>
      </c>
      <c r="B45" s="145" t="s">
        <v>524</v>
      </c>
      <c r="C45" s="87" t="s">
        <v>541</v>
      </c>
      <c r="D45" s="101">
        <v>10</v>
      </c>
      <c r="E45" s="48">
        <v>0.1</v>
      </c>
      <c r="F45" s="88">
        <v>42185</v>
      </c>
      <c r="G45" s="179">
        <v>120</v>
      </c>
      <c r="H45" s="201">
        <f>100/G45</f>
        <v>0.83333333333333337</v>
      </c>
      <c r="I45" s="233">
        <f t="shared" ref="I45:I46" si="47">H45*J45</f>
        <v>14.166666666666668</v>
      </c>
      <c r="J45" s="90">
        <f>(YEAR(F45)-YEAR(S45))*12+MONTH(F45)-MONTH(S45)</f>
        <v>17</v>
      </c>
      <c r="K45" s="233">
        <f>L45*H45</f>
        <v>85.833333333333343</v>
      </c>
      <c r="L45" s="90">
        <f>G45-J45</f>
        <v>103</v>
      </c>
      <c r="M45" s="233">
        <f>N45*H45</f>
        <v>5.8333333333333339</v>
      </c>
      <c r="N45" s="90">
        <v>7</v>
      </c>
      <c r="O45" s="233">
        <f t="shared" ref="O45:O46" si="48">K45-M45</f>
        <v>80.000000000000014</v>
      </c>
      <c r="P45" s="90">
        <f t="shared" ref="P45:P46" si="49">L45-N45</f>
        <v>96</v>
      </c>
      <c r="Q45" s="90">
        <f t="shared" ref="Q45:Q47" si="50">M45-O45</f>
        <v>-74.166666666666686</v>
      </c>
      <c r="R45" s="179" t="s">
        <v>507</v>
      </c>
      <c r="S45" s="30">
        <v>41656</v>
      </c>
      <c r="T45" s="169">
        <v>1594.83</v>
      </c>
      <c r="U45" s="116"/>
      <c r="V45" s="222">
        <v>159.48074999999994</v>
      </c>
      <c r="W45" s="222">
        <v>1435.34925</v>
      </c>
      <c r="X45" s="98">
        <v>13.29</v>
      </c>
      <c r="Y45" s="152">
        <f>X45*5</f>
        <v>66.449999999999989</v>
      </c>
      <c r="Z45" s="341">
        <f>W45-Y45</f>
        <v>1368.8992499999999</v>
      </c>
      <c r="AA45" s="100">
        <v>115.958</v>
      </c>
      <c r="AB45" s="129">
        <v>112.505</v>
      </c>
      <c r="AC45" s="100">
        <f>AA45/AB45</f>
        <v>1.0306919692458114</v>
      </c>
      <c r="AD45" s="98">
        <f>Z45*M45/100/K45*100/7</f>
        <v>13.290283980582524</v>
      </c>
      <c r="AE45" s="98">
        <f>AD45*AC45</f>
        <v>13.698188967782663</v>
      </c>
      <c r="AF45" s="98"/>
      <c r="AG45" s="98"/>
      <c r="AH45" s="98"/>
      <c r="AI45" s="98"/>
      <c r="AJ45" s="98"/>
      <c r="AK45" s="98">
        <f>AE45</f>
        <v>13.698188967782663</v>
      </c>
      <c r="AL45" s="98">
        <v>13.698188967782663</v>
      </c>
      <c r="AM45" s="98">
        <v>13.698188967782663</v>
      </c>
      <c r="AN45" s="98">
        <v>13.698188967782663</v>
      </c>
      <c r="AO45" s="98">
        <v>13.698188967782663</v>
      </c>
      <c r="AP45" s="98">
        <v>13.698188967782663</v>
      </c>
      <c r="AQ45" s="98">
        <v>13.698188967782663</v>
      </c>
      <c r="AR45" s="98">
        <f>SUM(AF45:AQ45)</f>
        <v>95.887322774478662</v>
      </c>
      <c r="AS45" s="116">
        <f>Z45-AR45</f>
        <v>1273.0119272255213</v>
      </c>
    </row>
    <row r="46" spans="1:45" s="22" customFormat="1" x14ac:dyDescent="0.2">
      <c r="A46" s="171" t="s">
        <v>526</v>
      </c>
      <c r="B46" s="145" t="s">
        <v>351</v>
      </c>
      <c r="C46" s="87" t="s">
        <v>499</v>
      </c>
      <c r="D46" s="101">
        <v>10</v>
      </c>
      <c r="E46" s="48">
        <v>0.1</v>
      </c>
      <c r="F46" s="88">
        <v>42185</v>
      </c>
      <c r="G46" s="179">
        <v>120</v>
      </c>
      <c r="H46" s="201">
        <f>100/G46</f>
        <v>0.83333333333333337</v>
      </c>
      <c r="I46" s="233">
        <f t="shared" si="47"/>
        <v>14.166666666666668</v>
      </c>
      <c r="J46" s="90">
        <f>(YEAR(F46)-YEAR(S46))*12+MONTH(F46)-MONTH(S46)</f>
        <v>17</v>
      </c>
      <c r="K46" s="233">
        <f>L46*H46</f>
        <v>85.833333333333343</v>
      </c>
      <c r="L46" s="90">
        <f>G46-J46</f>
        <v>103</v>
      </c>
      <c r="M46" s="233">
        <f>N46*H46</f>
        <v>5.8333333333333339</v>
      </c>
      <c r="N46" s="90">
        <v>7</v>
      </c>
      <c r="O46" s="233">
        <f t="shared" si="48"/>
        <v>80.000000000000014</v>
      </c>
      <c r="P46" s="90">
        <f t="shared" si="49"/>
        <v>96</v>
      </c>
      <c r="Q46" s="90">
        <f t="shared" si="50"/>
        <v>-74.166666666666686</v>
      </c>
      <c r="R46" s="179" t="s">
        <v>507</v>
      </c>
      <c r="S46" s="30">
        <v>41656</v>
      </c>
      <c r="T46" s="169">
        <v>732.46</v>
      </c>
      <c r="U46" s="116"/>
      <c r="V46" s="222">
        <v>73.211500000000001</v>
      </c>
      <c r="W46" s="222">
        <v>659.24850000000004</v>
      </c>
      <c r="X46" s="98">
        <v>6.1</v>
      </c>
      <c r="Y46" s="152">
        <f>X46*5</f>
        <v>30.5</v>
      </c>
      <c r="Z46" s="341">
        <f>W46-Y46</f>
        <v>628.74850000000004</v>
      </c>
      <c r="AA46" s="100">
        <v>115.958</v>
      </c>
      <c r="AB46" s="129">
        <v>112.505</v>
      </c>
      <c r="AC46" s="100">
        <f>AA46/AB46</f>
        <v>1.0306919692458114</v>
      </c>
      <c r="AD46" s="98">
        <f>Z46*M46/100/K46*100/7</f>
        <v>6.1043543689320385</v>
      </c>
      <c r="AE46" s="98">
        <f>AD46*AC46</f>
        <v>6.291709025488835</v>
      </c>
      <c r="AF46" s="98"/>
      <c r="AG46" s="98"/>
      <c r="AH46" s="98"/>
      <c r="AI46" s="98"/>
      <c r="AJ46" s="98"/>
      <c r="AK46" s="98">
        <f>AE46</f>
        <v>6.291709025488835</v>
      </c>
      <c r="AL46" s="98">
        <v>6.291709025488835</v>
      </c>
      <c r="AM46" s="98">
        <v>6.291709025488835</v>
      </c>
      <c r="AN46" s="98">
        <v>6.291709025488835</v>
      </c>
      <c r="AO46" s="98">
        <v>6.291709025488835</v>
      </c>
      <c r="AP46" s="98">
        <v>6.291709025488835</v>
      </c>
      <c r="AQ46" s="98">
        <v>6.291709025488835</v>
      </c>
      <c r="AR46" s="98">
        <f>SUM(AF46:AQ46)</f>
        <v>44.041963178421845</v>
      </c>
      <c r="AS46" s="116">
        <f>Z46-AR46</f>
        <v>584.7065368215782</v>
      </c>
    </row>
    <row r="47" spans="1:45" s="22" customFormat="1" x14ac:dyDescent="0.2">
      <c r="A47" s="171" t="s">
        <v>512</v>
      </c>
      <c r="B47" s="145" t="s">
        <v>536</v>
      </c>
      <c r="C47" s="87" t="s">
        <v>499</v>
      </c>
      <c r="D47" s="101">
        <v>10</v>
      </c>
      <c r="E47" s="48">
        <v>0.1</v>
      </c>
      <c r="F47" s="88">
        <v>42185</v>
      </c>
      <c r="G47" s="179">
        <v>120</v>
      </c>
      <c r="H47" s="201">
        <f>100/G47</f>
        <v>0.83333333333333337</v>
      </c>
      <c r="I47" s="233">
        <f>H47*J47</f>
        <v>14.166666666666668</v>
      </c>
      <c r="J47" s="90">
        <f>(YEAR(F47)-YEAR(S47))*12+MONTH(F47)-MONTH(S47)</f>
        <v>17</v>
      </c>
      <c r="K47" s="233">
        <f>L47*H47</f>
        <v>85.833333333333343</v>
      </c>
      <c r="L47" s="90">
        <f>G47-J47</f>
        <v>103</v>
      </c>
      <c r="M47" s="233">
        <f>N47*H47</f>
        <v>5.8333333333333339</v>
      </c>
      <c r="N47" s="90">
        <v>7</v>
      </c>
      <c r="O47" s="233">
        <f t="shared" ref="O47" si="51">K47-M47</f>
        <v>80.000000000000014</v>
      </c>
      <c r="P47" s="90">
        <f t="shared" ref="P47" si="52">L47-N47</f>
        <v>96</v>
      </c>
      <c r="Q47" s="90">
        <f t="shared" si="50"/>
        <v>-74.166666666666686</v>
      </c>
      <c r="R47" s="179" t="s">
        <v>507</v>
      </c>
      <c r="S47" s="186">
        <v>41640</v>
      </c>
      <c r="T47" s="169">
        <v>1425</v>
      </c>
      <c r="U47" s="116"/>
      <c r="V47" s="222">
        <v>90.524999999999977</v>
      </c>
      <c r="W47" s="222">
        <v>1334.4749999999999</v>
      </c>
      <c r="X47" s="98">
        <v>6.1</v>
      </c>
      <c r="Y47" s="152">
        <f>X47*5</f>
        <v>30.5</v>
      </c>
      <c r="Z47" s="341">
        <f>W47-Y47</f>
        <v>1303.9749999999999</v>
      </c>
      <c r="AA47" s="100">
        <v>115.958</v>
      </c>
      <c r="AB47" s="129">
        <v>112.505</v>
      </c>
      <c r="AC47" s="100">
        <f>AA47/AB47</f>
        <v>1.0306919692458114</v>
      </c>
      <c r="AD47" s="98">
        <f>Z47*M47/100/K47*100/7</f>
        <v>12.659951456310681</v>
      </c>
      <c r="AE47" s="98">
        <f>AD47*AC47</f>
        <v>13.048510297061235</v>
      </c>
      <c r="AF47" s="98"/>
      <c r="AG47" s="98"/>
      <c r="AH47" s="98"/>
      <c r="AI47" s="98"/>
      <c r="AJ47" s="98"/>
      <c r="AK47" s="98">
        <f>AE47</f>
        <v>13.048510297061235</v>
      </c>
      <c r="AL47" s="98">
        <v>13.048510297061235</v>
      </c>
      <c r="AM47" s="98">
        <v>13.048510297061235</v>
      </c>
      <c r="AN47" s="98">
        <v>13.048510297061235</v>
      </c>
      <c r="AO47" s="98">
        <v>13.048510297061235</v>
      </c>
      <c r="AP47" s="98">
        <v>13.048510297061235</v>
      </c>
      <c r="AQ47" s="98">
        <v>13.048510297061235</v>
      </c>
      <c r="AR47" s="98">
        <f>SUM(AF47:AQ47)</f>
        <v>91.339572079428621</v>
      </c>
      <c r="AS47" s="116">
        <f>Z47-AR47</f>
        <v>1212.6354279205714</v>
      </c>
    </row>
    <row r="48" spans="1:45" s="22" customFormat="1" x14ac:dyDescent="0.2">
      <c r="A48" s="41" t="s">
        <v>131</v>
      </c>
      <c r="B48" s="172"/>
      <c r="C48" s="178"/>
      <c r="D48" s="157"/>
      <c r="E48" s="157"/>
      <c r="F48" s="88"/>
      <c r="G48" s="179"/>
      <c r="H48" s="201"/>
      <c r="I48" s="233"/>
      <c r="J48" s="90"/>
      <c r="K48" s="233"/>
      <c r="L48" s="90"/>
      <c r="M48" s="233"/>
      <c r="N48" s="90"/>
      <c r="O48" s="233"/>
      <c r="P48" s="90"/>
      <c r="Q48" s="90"/>
      <c r="R48" s="179"/>
      <c r="S48" s="171"/>
      <c r="T48" s="11"/>
      <c r="U48" s="116"/>
      <c r="V48" s="222"/>
      <c r="W48" s="222"/>
      <c r="X48" s="98"/>
      <c r="Y48" s="152"/>
      <c r="Z48" s="341"/>
      <c r="AA48" s="100"/>
      <c r="AB48" s="127"/>
      <c r="AC48" s="100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116"/>
    </row>
    <row r="49" spans="1:47" s="22" customFormat="1" x14ac:dyDescent="0.2">
      <c r="A49" s="172" t="s">
        <v>517</v>
      </c>
      <c r="B49" s="13"/>
      <c r="C49" s="87"/>
      <c r="D49" s="101"/>
      <c r="E49" s="184"/>
      <c r="F49" s="88"/>
      <c r="G49" s="179"/>
      <c r="H49" s="201"/>
      <c r="I49" s="233"/>
      <c r="J49" s="90"/>
      <c r="K49" s="233"/>
      <c r="L49" s="90"/>
      <c r="M49" s="233"/>
      <c r="N49" s="90"/>
      <c r="O49" s="233"/>
      <c r="P49" s="90"/>
      <c r="Q49" s="90"/>
      <c r="R49" s="179"/>
      <c r="S49" s="182"/>
      <c r="T49" s="183"/>
      <c r="U49" s="116"/>
      <c r="V49" s="222"/>
      <c r="W49" s="222"/>
      <c r="X49" s="98"/>
      <c r="Y49" s="152"/>
      <c r="Z49" s="341"/>
      <c r="AA49" s="100"/>
      <c r="AB49" s="125"/>
      <c r="AC49" s="100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116"/>
    </row>
    <row r="50" spans="1:47" s="22" customFormat="1" x14ac:dyDescent="0.2">
      <c r="A50" s="171" t="s">
        <v>358</v>
      </c>
      <c r="B50" s="145" t="s">
        <v>759</v>
      </c>
      <c r="C50" s="87" t="s">
        <v>538</v>
      </c>
      <c r="D50" s="101">
        <v>10</v>
      </c>
      <c r="E50" s="48">
        <v>0.1</v>
      </c>
      <c r="F50" s="88">
        <v>42185</v>
      </c>
      <c r="G50" s="179">
        <v>120</v>
      </c>
      <c r="H50" s="201">
        <f>100/G50</f>
        <v>0.83333333333333337</v>
      </c>
      <c r="I50" s="233">
        <f t="shared" ref="I50:I52" si="53">H50*J50</f>
        <v>13.333333333333334</v>
      </c>
      <c r="J50" s="90">
        <f>(YEAR(F50)-YEAR(S50))*12+MONTH(F50)-MONTH(S50)</f>
        <v>16</v>
      </c>
      <c r="K50" s="233">
        <f>L50*H50</f>
        <v>86.666666666666671</v>
      </c>
      <c r="L50" s="90">
        <f>G50-J50</f>
        <v>104</v>
      </c>
      <c r="M50" s="233">
        <f>N50*H50</f>
        <v>5.8333333333333339</v>
      </c>
      <c r="N50" s="90">
        <v>7</v>
      </c>
      <c r="O50" s="233">
        <f t="shared" ref="O50:O52" si="54">K50-M50</f>
        <v>80.833333333333343</v>
      </c>
      <c r="P50" s="90">
        <f t="shared" ref="P50:P52" si="55">L50-N50</f>
        <v>97</v>
      </c>
      <c r="Q50" s="90">
        <f t="shared" ref="Q50:Q52" si="56">M50-O50</f>
        <v>-75.000000000000014</v>
      </c>
      <c r="R50" s="179" t="s">
        <v>507</v>
      </c>
      <c r="S50" s="52">
        <v>41691</v>
      </c>
      <c r="T50" s="198">
        <v>11200</v>
      </c>
      <c r="U50" s="116"/>
      <c r="V50" s="222">
        <v>1026.6366666666668</v>
      </c>
      <c r="W50" s="222">
        <v>10173.363333333333</v>
      </c>
      <c r="X50" s="98">
        <v>93.33</v>
      </c>
      <c r="Y50" s="152">
        <f>X50*5</f>
        <v>466.65</v>
      </c>
      <c r="Z50" s="341">
        <f>W50-Y50</f>
        <v>9706.7133333333331</v>
      </c>
      <c r="AA50" s="100">
        <v>115.958</v>
      </c>
      <c r="AB50" s="195">
        <v>112.79</v>
      </c>
      <c r="AC50" s="100">
        <f>AA50/AB50</f>
        <v>1.0280875964181222</v>
      </c>
      <c r="AD50" s="98">
        <f>Z50*M50/100/K50*100/7</f>
        <v>93.333782051282057</v>
      </c>
      <c r="AE50" s="98">
        <f>AD50*AC50</f>
        <v>95.955303653715447</v>
      </c>
      <c r="AF50" s="98"/>
      <c r="AG50" s="98"/>
      <c r="AH50" s="98"/>
      <c r="AI50" s="98"/>
      <c r="AJ50" s="98"/>
      <c r="AK50" s="98">
        <f>AE50</f>
        <v>95.955303653715447</v>
      </c>
      <c r="AL50" s="98">
        <v>95.955303653715447</v>
      </c>
      <c r="AM50" s="98">
        <v>95.955303653715447</v>
      </c>
      <c r="AN50" s="98">
        <v>95.955303653715447</v>
      </c>
      <c r="AO50" s="98">
        <v>95.955303653715447</v>
      </c>
      <c r="AP50" s="98">
        <v>95.955303653715447</v>
      </c>
      <c r="AQ50" s="98">
        <v>95.955303653715447</v>
      </c>
      <c r="AR50" s="98">
        <f>SUM(AF50:AQ50)</f>
        <v>671.68712557600804</v>
      </c>
      <c r="AS50" s="116">
        <f>Z50-AR50</f>
        <v>9035.0262077573243</v>
      </c>
    </row>
    <row r="51" spans="1:47" s="22" customFormat="1" x14ac:dyDescent="0.2">
      <c r="A51" s="29" t="s">
        <v>359</v>
      </c>
      <c r="B51" s="13" t="s">
        <v>342</v>
      </c>
      <c r="C51" s="87" t="s">
        <v>499</v>
      </c>
      <c r="D51" s="101">
        <v>10</v>
      </c>
      <c r="E51" s="48">
        <v>0.1</v>
      </c>
      <c r="F51" s="88">
        <v>42185</v>
      </c>
      <c r="G51" s="179">
        <v>120</v>
      </c>
      <c r="H51" s="201">
        <f>100/G51</f>
        <v>0.83333333333333337</v>
      </c>
      <c r="I51" s="233">
        <f t="shared" si="53"/>
        <v>14.166666666666668</v>
      </c>
      <c r="J51" s="90">
        <f>(YEAR(F51)-YEAR(S51))*12+MONTH(F51)-MONTH(S51)</f>
        <v>17</v>
      </c>
      <c r="K51" s="233">
        <f>L51*H51</f>
        <v>85.833333333333343</v>
      </c>
      <c r="L51" s="90">
        <f>G51-J51</f>
        <v>103</v>
      </c>
      <c r="M51" s="233">
        <f>N51*H51</f>
        <v>5.8333333333333339</v>
      </c>
      <c r="N51" s="90">
        <v>7</v>
      </c>
      <c r="O51" s="233">
        <f t="shared" si="54"/>
        <v>80.000000000000014</v>
      </c>
      <c r="P51" s="90">
        <f t="shared" si="55"/>
        <v>96</v>
      </c>
      <c r="Q51" s="90">
        <f t="shared" si="56"/>
        <v>-74.166666666666686</v>
      </c>
      <c r="R51" s="179" t="s">
        <v>507</v>
      </c>
      <c r="S51" s="52">
        <v>41666</v>
      </c>
      <c r="T51" s="198">
        <v>6000</v>
      </c>
      <c r="U51" s="116"/>
      <c r="V51" s="222">
        <v>600</v>
      </c>
      <c r="W51" s="222">
        <v>5400</v>
      </c>
      <c r="X51" s="98">
        <v>50</v>
      </c>
      <c r="Y51" s="152">
        <f>X51*5</f>
        <v>250</v>
      </c>
      <c r="Z51" s="341">
        <f>W51-Y51</f>
        <v>5150</v>
      </c>
      <c r="AA51" s="100">
        <v>115.958</v>
      </c>
      <c r="AB51" s="195">
        <v>112.505</v>
      </c>
      <c r="AC51" s="100">
        <f>AA51/AB51</f>
        <v>1.0306919692458114</v>
      </c>
      <c r="AD51" s="98">
        <f>Z51*M51/100/K51*100/7</f>
        <v>50.000000000000007</v>
      </c>
      <c r="AE51" s="98">
        <f>AD51*AC51</f>
        <v>51.534598462290575</v>
      </c>
      <c r="AF51" s="98"/>
      <c r="AG51" s="98"/>
      <c r="AH51" s="98"/>
      <c r="AI51" s="98"/>
      <c r="AJ51" s="98"/>
      <c r="AK51" s="98">
        <f>AE51</f>
        <v>51.534598462290575</v>
      </c>
      <c r="AL51" s="98">
        <v>51.534598462290575</v>
      </c>
      <c r="AM51" s="98">
        <v>51.534598462290575</v>
      </c>
      <c r="AN51" s="98">
        <v>51.534598462290575</v>
      </c>
      <c r="AO51" s="98">
        <v>51.534598462290575</v>
      </c>
      <c r="AP51" s="98">
        <v>51.534598462290575</v>
      </c>
      <c r="AQ51" s="98">
        <v>51.534598462290575</v>
      </c>
      <c r="AR51" s="98">
        <f>SUM(AF51:AQ51)</f>
        <v>360.74218923603394</v>
      </c>
      <c r="AS51" s="116">
        <f>Z51-AR51</f>
        <v>4789.2578107639656</v>
      </c>
    </row>
    <row r="52" spans="1:47" s="22" customFormat="1" x14ac:dyDescent="0.2">
      <c r="A52" s="29" t="s">
        <v>359</v>
      </c>
      <c r="B52" s="13" t="s">
        <v>342</v>
      </c>
      <c r="C52" s="87" t="s">
        <v>499</v>
      </c>
      <c r="D52" s="101">
        <v>10</v>
      </c>
      <c r="E52" s="48">
        <v>0.1</v>
      </c>
      <c r="F52" s="88">
        <v>42185</v>
      </c>
      <c r="G52" s="179">
        <v>120</v>
      </c>
      <c r="H52" s="201">
        <f>100/G52</f>
        <v>0.83333333333333337</v>
      </c>
      <c r="I52" s="233">
        <f t="shared" si="53"/>
        <v>13.333333333333334</v>
      </c>
      <c r="J52" s="90">
        <f>(YEAR(F52)-YEAR(S52))*12+MONTH(F52)-MONTH(S52)</f>
        <v>16</v>
      </c>
      <c r="K52" s="233">
        <f>L52*H52</f>
        <v>86.666666666666671</v>
      </c>
      <c r="L52" s="90">
        <f>G52-J52</f>
        <v>104</v>
      </c>
      <c r="M52" s="233">
        <f>N52*H52</f>
        <v>5.8333333333333339</v>
      </c>
      <c r="N52" s="90">
        <v>7</v>
      </c>
      <c r="O52" s="233">
        <f t="shared" si="54"/>
        <v>80.833333333333343</v>
      </c>
      <c r="P52" s="90">
        <f t="shared" si="55"/>
        <v>97</v>
      </c>
      <c r="Q52" s="90">
        <f t="shared" si="56"/>
        <v>-75.000000000000014</v>
      </c>
      <c r="R52" s="179" t="s">
        <v>507</v>
      </c>
      <c r="S52" s="52">
        <v>41688</v>
      </c>
      <c r="T52" s="9">
        <v>6000</v>
      </c>
      <c r="U52" s="116"/>
      <c r="V52" s="222">
        <v>550</v>
      </c>
      <c r="W52" s="222">
        <v>5450</v>
      </c>
      <c r="X52" s="98">
        <v>50</v>
      </c>
      <c r="Y52" s="152">
        <f>X52*5</f>
        <v>250</v>
      </c>
      <c r="Z52" s="341">
        <f>W52-Y52</f>
        <v>5200</v>
      </c>
      <c r="AA52" s="100">
        <v>115.958</v>
      </c>
      <c r="AB52" s="195">
        <v>112.79</v>
      </c>
      <c r="AC52" s="100">
        <f>AA52/AB52</f>
        <v>1.0280875964181222</v>
      </c>
      <c r="AD52" s="98">
        <f>Z52*M52/100/K52*100/7</f>
        <v>50.000000000000007</v>
      </c>
      <c r="AE52" s="98">
        <f>AD52*AC52</f>
        <v>51.404379820906115</v>
      </c>
      <c r="AF52" s="98"/>
      <c r="AG52" s="98"/>
      <c r="AH52" s="98"/>
      <c r="AI52" s="98"/>
      <c r="AJ52" s="98"/>
      <c r="AK52" s="98">
        <f>AE52</f>
        <v>51.404379820906115</v>
      </c>
      <c r="AL52" s="98">
        <v>51.404379820906115</v>
      </c>
      <c r="AM52" s="98">
        <v>51.404379820906115</v>
      </c>
      <c r="AN52" s="98">
        <v>51.404379820906115</v>
      </c>
      <c r="AO52" s="98">
        <v>51.404379820906115</v>
      </c>
      <c r="AP52" s="98">
        <v>51.404379820906115</v>
      </c>
      <c r="AQ52" s="98">
        <v>51.404379820906115</v>
      </c>
      <c r="AR52" s="98">
        <f>SUM(AF52:AQ52)</f>
        <v>359.83065874634281</v>
      </c>
      <c r="AS52" s="116">
        <f>Z52-AR52</f>
        <v>4840.169341253657</v>
      </c>
    </row>
    <row r="53" spans="1:47" s="22" customFormat="1" x14ac:dyDescent="0.2">
      <c r="A53" s="41" t="s">
        <v>131</v>
      </c>
      <c r="B53" s="41"/>
      <c r="C53" s="178"/>
      <c r="D53" s="157"/>
      <c r="E53" s="38"/>
      <c r="F53" s="29"/>
      <c r="G53" s="179"/>
      <c r="H53" s="201"/>
      <c r="I53" s="233"/>
      <c r="J53" s="90"/>
      <c r="K53" s="233"/>
      <c r="L53" s="90"/>
      <c r="M53" s="233"/>
      <c r="N53" s="90"/>
      <c r="O53" s="233"/>
      <c r="P53" s="90"/>
      <c r="Q53" s="90"/>
      <c r="R53" s="179"/>
      <c r="S53" s="171"/>
      <c r="T53" s="11"/>
      <c r="U53" s="116"/>
      <c r="V53" s="222"/>
      <c r="W53" s="222"/>
      <c r="X53" s="98"/>
      <c r="Y53" s="152"/>
      <c r="Z53" s="341"/>
      <c r="AA53" s="100"/>
      <c r="AB53" s="196"/>
      <c r="AC53" s="100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116"/>
    </row>
    <row r="54" spans="1:47" s="22" customFormat="1" x14ac:dyDescent="0.2">
      <c r="A54" s="172" t="s">
        <v>515</v>
      </c>
      <c r="B54" s="13"/>
      <c r="C54" s="87"/>
      <c r="D54" s="101"/>
      <c r="E54" s="48"/>
      <c r="F54" s="29"/>
      <c r="G54" s="334"/>
      <c r="H54" s="201"/>
      <c r="I54" s="233"/>
      <c r="J54" s="90"/>
      <c r="K54" s="233"/>
      <c r="L54" s="90"/>
      <c r="M54" s="233"/>
      <c r="N54" s="90"/>
      <c r="O54" s="233"/>
      <c r="P54" s="90"/>
      <c r="Q54" s="90"/>
      <c r="R54" s="179"/>
      <c r="S54" s="182"/>
      <c r="T54" s="11"/>
      <c r="U54" s="116"/>
      <c r="V54" s="222"/>
      <c r="W54" s="222"/>
      <c r="X54" s="98"/>
      <c r="Y54" s="152"/>
      <c r="Z54" s="341"/>
      <c r="AA54" s="100"/>
      <c r="AB54" s="129"/>
      <c r="AC54" s="100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116"/>
    </row>
    <row r="55" spans="1:47" s="22" customFormat="1" x14ac:dyDescent="0.2">
      <c r="A55" s="171" t="s">
        <v>537</v>
      </c>
      <c r="B55" s="145" t="s">
        <v>500</v>
      </c>
      <c r="C55" s="87" t="s">
        <v>538</v>
      </c>
      <c r="D55" s="101">
        <v>10</v>
      </c>
      <c r="E55" s="48">
        <v>0.1</v>
      </c>
      <c r="F55" s="88">
        <v>42185</v>
      </c>
      <c r="G55" s="179">
        <v>120</v>
      </c>
      <c r="H55" s="201">
        <f>100/G55</f>
        <v>0.83333333333333337</v>
      </c>
      <c r="I55" s="233">
        <f t="shared" ref="I55" si="57">H55*J55</f>
        <v>8.3333333333333339</v>
      </c>
      <c r="J55" s="90">
        <f>(YEAR(F55)-YEAR(S55))*12+MONTH(F55)-MONTH(S55)</f>
        <v>10</v>
      </c>
      <c r="K55" s="233">
        <f>L55*H55</f>
        <v>91.666666666666671</v>
      </c>
      <c r="L55" s="90">
        <f>G55-J55</f>
        <v>110</v>
      </c>
      <c r="M55" s="233">
        <f>N55*H55</f>
        <v>5.8333333333333339</v>
      </c>
      <c r="N55" s="90">
        <v>7</v>
      </c>
      <c r="O55" s="233">
        <f t="shared" ref="O55" si="58">K55-M55</f>
        <v>85.833333333333343</v>
      </c>
      <c r="P55" s="90">
        <f t="shared" ref="P55" si="59">L55-N55</f>
        <v>103</v>
      </c>
      <c r="Q55" s="90">
        <f t="shared" ref="Q55" si="60">M55-O55</f>
        <v>-80.000000000000014</v>
      </c>
      <c r="R55" s="179" t="s">
        <v>507</v>
      </c>
      <c r="S55" s="186">
        <v>41863</v>
      </c>
      <c r="T55" s="169">
        <v>11500</v>
      </c>
      <c r="U55" s="116"/>
      <c r="V55" s="222">
        <v>479.15</v>
      </c>
      <c r="W55" s="222">
        <v>11020.85</v>
      </c>
      <c r="X55" s="98">
        <v>95.83</v>
      </c>
      <c r="Y55" s="152">
        <f>X55*5</f>
        <v>479.15</v>
      </c>
      <c r="Z55" s="341">
        <f>W55-Y55</f>
        <v>10541.7</v>
      </c>
      <c r="AA55" s="100">
        <v>115.958</v>
      </c>
      <c r="AB55" s="129">
        <v>113.438</v>
      </c>
      <c r="AC55" s="100">
        <f>AA55/AB55</f>
        <v>1.0222147781166804</v>
      </c>
      <c r="AD55" s="98">
        <f>Z55*M55/100/K55*100/7</f>
        <v>95.833636363636373</v>
      </c>
      <c r="AE55" s="98">
        <f>AD55*AC55</f>
        <v>97.962559331569182</v>
      </c>
      <c r="AF55" s="98"/>
      <c r="AG55" s="98"/>
      <c r="AH55" s="98"/>
      <c r="AI55" s="98"/>
      <c r="AJ55" s="98"/>
      <c r="AK55" s="98">
        <f>AE55</f>
        <v>97.962559331569182</v>
      </c>
      <c r="AL55" s="98">
        <v>97.962559331569182</v>
      </c>
      <c r="AM55" s="98">
        <v>97.962559331569182</v>
      </c>
      <c r="AN55" s="98">
        <v>97.962559331569182</v>
      </c>
      <c r="AO55" s="98">
        <v>97.962559331569182</v>
      </c>
      <c r="AP55" s="98">
        <v>97.962559331569182</v>
      </c>
      <c r="AQ55" s="98">
        <v>97.962559331569182</v>
      </c>
      <c r="AR55" s="98">
        <f>SUM(AF55:AQ55)</f>
        <v>685.73791532098426</v>
      </c>
      <c r="AS55" s="116">
        <f>Z55-AR55</f>
        <v>9855.9620846790167</v>
      </c>
    </row>
    <row r="56" spans="1:47" s="22" customFormat="1" x14ac:dyDescent="0.2">
      <c r="A56" s="41" t="s">
        <v>131</v>
      </c>
      <c r="B56" s="41"/>
      <c r="C56" s="178"/>
      <c r="D56" s="157"/>
      <c r="E56" s="38"/>
      <c r="F56" s="88"/>
      <c r="G56" s="179"/>
      <c r="H56" s="201"/>
      <c r="I56" s="233"/>
      <c r="J56" s="90"/>
      <c r="K56" s="233"/>
      <c r="L56" s="90"/>
      <c r="M56" s="233"/>
      <c r="N56" s="90"/>
      <c r="O56" s="233"/>
      <c r="P56" s="90"/>
      <c r="Q56" s="90"/>
      <c r="R56" s="179"/>
      <c r="S56" s="171"/>
      <c r="T56" s="11"/>
      <c r="U56" s="116"/>
      <c r="V56" s="222"/>
      <c r="W56" s="222"/>
      <c r="X56" s="98"/>
      <c r="Y56" s="152"/>
      <c r="Z56" s="341"/>
      <c r="AA56" s="100"/>
      <c r="AB56" s="196"/>
      <c r="AC56" s="100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116"/>
    </row>
    <row r="57" spans="1:47" s="22" customFormat="1" x14ac:dyDescent="0.2">
      <c r="A57" s="172" t="s">
        <v>527</v>
      </c>
      <c r="B57" s="13"/>
      <c r="C57" s="87"/>
      <c r="D57" s="101"/>
      <c r="E57" s="48"/>
      <c r="F57" s="29"/>
      <c r="G57" s="179"/>
      <c r="H57" s="201"/>
      <c r="I57" s="233"/>
      <c r="J57" s="90"/>
      <c r="K57" s="233"/>
      <c r="L57" s="90"/>
      <c r="M57" s="233"/>
      <c r="N57" s="90"/>
      <c r="O57" s="233"/>
      <c r="P57" s="90"/>
      <c r="Q57" s="90"/>
      <c r="R57" s="179"/>
      <c r="S57" s="182"/>
      <c r="T57" s="11"/>
      <c r="U57" s="116"/>
      <c r="V57" s="222"/>
      <c r="W57" s="222"/>
      <c r="X57" s="98"/>
      <c r="Y57" s="152"/>
      <c r="Z57" s="341"/>
      <c r="AA57" s="100"/>
      <c r="AB57" s="129"/>
      <c r="AC57" s="100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116"/>
    </row>
    <row r="58" spans="1:47" s="22" customFormat="1" x14ac:dyDescent="0.2">
      <c r="A58" s="29" t="s">
        <v>360</v>
      </c>
      <c r="B58" s="145" t="s">
        <v>352</v>
      </c>
      <c r="C58" s="87" t="s">
        <v>499</v>
      </c>
      <c r="D58" s="101">
        <v>10</v>
      </c>
      <c r="E58" s="48">
        <v>0.1</v>
      </c>
      <c r="F58" s="88">
        <v>42185</v>
      </c>
      <c r="G58" s="179">
        <v>120</v>
      </c>
      <c r="H58" s="201">
        <f>100/G58</f>
        <v>0.83333333333333337</v>
      </c>
      <c r="I58" s="233">
        <f t="shared" ref="I58:I59" si="61">H58*J58</f>
        <v>13.333333333333334</v>
      </c>
      <c r="J58" s="90">
        <f>(YEAR(F58)-YEAR(S58))*12+MONTH(F58)-MONTH(S58)</f>
        <v>16</v>
      </c>
      <c r="K58" s="233">
        <f>L58*H58</f>
        <v>86.666666666666671</v>
      </c>
      <c r="L58" s="90">
        <f>G58-J58</f>
        <v>104</v>
      </c>
      <c r="M58" s="233">
        <f>N58*H58</f>
        <v>5.8333333333333339</v>
      </c>
      <c r="N58" s="90">
        <v>7</v>
      </c>
      <c r="O58" s="233">
        <f t="shared" ref="O58:O59" si="62">K58-M58</f>
        <v>80.833333333333343</v>
      </c>
      <c r="P58" s="90">
        <f t="shared" ref="P58:P59" si="63">L58-N58</f>
        <v>97</v>
      </c>
      <c r="Q58" s="90">
        <f t="shared" ref="Q58:Q59" si="64">M58-O58</f>
        <v>-75.000000000000014</v>
      </c>
      <c r="R58" s="179" t="s">
        <v>507</v>
      </c>
      <c r="S58" s="29">
        <v>41685</v>
      </c>
      <c r="T58" s="9">
        <v>750</v>
      </c>
      <c r="U58" s="116"/>
      <c r="V58" s="222">
        <v>68.75</v>
      </c>
      <c r="W58" s="222">
        <v>681.25</v>
      </c>
      <c r="X58" s="98">
        <v>6.25</v>
      </c>
      <c r="Y58" s="152">
        <f>X58*5</f>
        <v>31.25</v>
      </c>
      <c r="Z58" s="341">
        <f>W58-Y58</f>
        <v>650</v>
      </c>
      <c r="AA58" s="100">
        <v>115.958</v>
      </c>
      <c r="AB58" s="129">
        <v>112.79</v>
      </c>
      <c r="AC58" s="100">
        <f>AA58/AB58</f>
        <v>1.0280875964181222</v>
      </c>
      <c r="AD58" s="98">
        <f>Z58*M58/100/K58*100/7</f>
        <v>6.2500000000000009</v>
      </c>
      <c r="AE58" s="98">
        <f>AD58*AC58</f>
        <v>6.4255474776132644</v>
      </c>
      <c r="AF58" s="98"/>
      <c r="AG58" s="98"/>
      <c r="AH58" s="98"/>
      <c r="AI58" s="98"/>
      <c r="AJ58" s="98"/>
      <c r="AK58" s="98">
        <f>AE58</f>
        <v>6.4255474776132644</v>
      </c>
      <c r="AL58" s="98">
        <v>6.4255474776132644</v>
      </c>
      <c r="AM58" s="98">
        <v>6.4255474776132644</v>
      </c>
      <c r="AN58" s="98">
        <v>6.4255474776132644</v>
      </c>
      <c r="AO58" s="98">
        <v>6.4255474776132644</v>
      </c>
      <c r="AP58" s="98">
        <v>6.4255474776132644</v>
      </c>
      <c r="AQ58" s="98">
        <v>6.4255474776132644</v>
      </c>
      <c r="AR58" s="98">
        <f>SUM(AF58:AQ58)</f>
        <v>44.978832343292851</v>
      </c>
      <c r="AS58" s="116">
        <f>Z58-AR58</f>
        <v>605.02116765670712</v>
      </c>
    </row>
    <row r="59" spans="1:47" s="22" customFormat="1" x14ac:dyDescent="0.2">
      <c r="A59" s="29" t="s">
        <v>360</v>
      </c>
      <c r="B59" s="145" t="s">
        <v>352</v>
      </c>
      <c r="C59" s="87" t="s">
        <v>499</v>
      </c>
      <c r="D59" s="101">
        <v>10</v>
      </c>
      <c r="E59" s="48">
        <v>0.1</v>
      </c>
      <c r="F59" s="88">
        <v>42185</v>
      </c>
      <c r="G59" s="179">
        <v>120</v>
      </c>
      <c r="H59" s="201">
        <f>100/G59</f>
        <v>0.83333333333333337</v>
      </c>
      <c r="I59" s="233">
        <f t="shared" si="61"/>
        <v>13.333333333333334</v>
      </c>
      <c r="J59" s="90">
        <f>(YEAR(F59)-YEAR(S59))*12+MONTH(F59)-MONTH(S59)</f>
        <v>16</v>
      </c>
      <c r="K59" s="233">
        <f>L59*H59</f>
        <v>86.666666666666671</v>
      </c>
      <c r="L59" s="90">
        <f>G59-J59</f>
        <v>104</v>
      </c>
      <c r="M59" s="233">
        <f>N59*H59</f>
        <v>5.8333333333333339</v>
      </c>
      <c r="N59" s="90">
        <v>7</v>
      </c>
      <c r="O59" s="233">
        <f t="shared" si="62"/>
        <v>80.833333333333343</v>
      </c>
      <c r="P59" s="90">
        <f t="shared" si="63"/>
        <v>97</v>
      </c>
      <c r="Q59" s="90">
        <f t="shared" si="64"/>
        <v>-75.000000000000014</v>
      </c>
      <c r="R59" s="179" t="s">
        <v>507</v>
      </c>
      <c r="S59" s="29">
        <v>41685</v>
      </c>
      <c r="T59" s="9">
        <v>750</v>
      </c>
      <c r="U59" s="116"/>
      <c r="V59" s="222">
        <v>68.75</v>
      </c>
      <c r="W59" s="222">
        <v>681.25</v>
      </c>
      <c r="X59" s="98">
        <v>6.25</v>
      </c>
      <c r="Y59" s="152">
        <f>X59*5</f>
        <v>31.25</v>
      </c>
      <c r="Z59" s="341">
        <f>W59-Y59</f>
        <v>650</v>
      </c>
      <c r="AA59" s="100">
        <v>115.958</v>
      </c>
      <c r="AB59" s="129">
        <v>112.79</v>
      </c>
      <c r="AC59" s="100">
        <f>AA59/AB59</f>
        <v>1.0280875964181222</v>
      </c>
      <c r="AD59" s="98">
        <f>Z59*M59/100/K59*100/7</f>
        <v>6.2500000000000009</v>
      </c>
      <c r="AE59" s="98">
        <f>AD59*AC59</f>
        <v>6.4255474776132644</v>
      </c>
      <c r="AF59" s="98"/>
      <c r="AG59" s="98"/>
      <c r="AH59" s="98"/>
      <c r="AI59" s="98"/>
      <c r="AJ59" s="98"/>
      <c r="AK59" s="98">
        <f>AE59</f>
        <v>6.4255474776132644</v>
      </c>
      <c r="AL59" s="98">
        <v>6.4255474776132644</v>
      </c>
      <c r="AM59" s="98">
        <v>6.4255474776132644</v>
      </c>
      <c r="AN59" s="98">
        <v>6.4255474776132644</v>
      </c>
      <c r="AO59" s="98">
        <v>6.4255474776132644</v>
      </c>
      <c r="AP59" s="98">
        <v>6.4255474776132644</v>
      </c>
      <c r="AQ59" s="98">
        <v>6.4255474776132644</v>
      </c>
      <c r="AR59" s="98">
        <f>SUM(AF59:AQ59)</f>
        <v>44.978832343292851</v>
      </c>
      <c r="AS59" s="116">
        <f>Z59-AR59</f>
        <v>605.02116765670712</v>
      </c>
    </row>
    <row r="60" spans="1:47" x14ac:dyDescent="0.2">
      <c r="R60" s="243"/>
      <c r="V60" s="336"/>
      <c r="W60" s="336"/>
      <c r="X60" s="336">
        <f>SUM(X19:X59)</f>
        <v>425.33</v>
      </c>
      <c r="Y60" s="336"/>
      <c r="Z60" s="336"/>
      <c r="AD60" s="263"/>
      <c r="AE60" s="263"/>
      <c r="AF60" s="263" t="e">
        <f>SUM(#REF!)</f>
        <v>#REF!</v>
      </c>
      <c r="AG60" s="263" t="e">
        <f>SUM(#REF!)</f>
        <v>#REF!</v>
      </c>
      <c r="AH60" s="263" t="e">
        <f>SUM(#REF!)</f>
        <v>#REF!</v>
      </c>
      <c r="AI60" s="263" t="e">
        <f>SUM(#REF!)</f>
        <v>#REF!</v>
      </c>
      <c r="AJ60" s="263" t="e">
        <f>SUM(#REF!)</f>
        <v>#REF!</v>
      </c>
      <c r="AK60" s="336">
        <f>SUM(AK16:AK59)</f>
        <v>447.69829089235429</v>
      </c>
      <c r="AL60" s="336"/>
      <c r="AM60" s="263"/>
      <c r="AN60" s="263"/>
      <c r="AO60" s="263"/>
      <c r="AP60" s="263">
        <f>SUM(AP16:AP59)</f>
        <v>447.69829089235429</v>
      </c>
      <c r="AQ60" s="336">
        <f t="shared" ref="AQ60:AR60" si="65">SUM(AQ15:AQ59)</f>
        <v>492.08651135074376</v>
      </c>
      <c r="AR60" s="336">
        <f t="shared" si="65"/>
        <v>3216.6580362464792</v>
      </c>
      <c r="AS60" s="336">
        <f>SUM(AS15:AS59)</f>
        <v>43979.058047086844</v>
      </c>
    </row>
    <row r="61" spans="1:47" s="150" customFormat="1" x14ac:dyDescent="0.2">
      <c r="A61" s="156" t="s">
        <v>460</v>
      </c>
      <c r="B61" s="132"/>
      <c r="C61" s="132"/>
      <c r="D61" s="133"/>
      <c r="E61" s="133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4"/>
      <c r="S61" s="134"/>
      <c r="T61" s="135"/>
      <c r="U61" s="135"/>
      <c r="V61" s="135"/>
      <c r="W61" s="135"/>
      <c r="X61" s="135"/>
      <c r="Z61"/>
      <c r="AA61"/>
      <c r="AB61" s="12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 s="113"/>
      <c r="AT61" s="149"/>
      <c r="AU61" s="149"/>
    </row>
    <row r="62" spans="1:47" s="150" customFormat="1" x14ac:dyDescent="0.2">
      <c r="A62" s="310" t="s">
        <v>719</v>
      </c>
      <c r="B62" s="311"/>
      <c r="C62" s="311"/>
      <c r="D62" s="312"/>
      <c r="E62" s="312"/>
      <c r="F62"/>
      <c r="G62"/>
      <c r="H62"/>
      <c r="I62"/>
      <c r="J62"/>
      <c r="K62"/>
      <c r="L62"/>
      <c r="M62"/>
      <c r="N62"/>
      <c r="O62"/>
      <c r="P62"/>
      <c r="Q62"/>
      <c r="R62" s="28"/>
      <c r="S62" s="28"/>
      <c r="T62" s="16"/>
      <c r="U62" s="16"/>
      <c r="V62" s="16"/>
      <c r="W62" s="16"/>
      <c r="X62" s="16"/>
      <c r="Z62" s="338"/>
      <c r="AA62"/>
      <c r="AB62" s="130"/>
      <c r="AC62"/>
      <c r="AD62"/>
      <c r="AE62" s="16"/>
      <c r="AF62"/>
      <c r="AG62"/>
      <c r="AH62"/>
      <c r="AI62"/>
      <c r="AJ62"/>
      <c r="AK62"/>
      <c r="AL62"/>
      <c r="AM62"/>
      <c r="AN62"/>
      <c r="AO62"/>
      <c r="AP62"/>
      <c r="AQ62"/>
      <c r="AR62" s="510"/>
      <c r="AS62" s="113"/>
      <c r="AT62" s="149"/>
      <c r="AU62" s="149"/>
    </row>
    <row r="63" spans="1:47" ht="30.75" hidden="1" customHeight="1" x14ac:dyDescent="0.2">
      <c r="A63" s="568" t="s">
        <v>613</v>
      </c>
      <c r="B63" s="568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239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</row>
    <row r="64" spans="1:47" hidden="1" x14ac:dyDescent="0.2">
      <c r="A64" s="568"/>
      <c r="B64" s="568"/>
      <c r="C64" s="568"/>
      <c r="D64" s="568"/>
      <c r="E64" s="568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</row>
    <row r="66" spans="28:44" x14ac:dyDescent="0.2">
      <c r="AB66" s="567" t="s">
        <v>1062</v>
      </c>
      <c r="AC66" s="572"/>
      <c r="AD66" s="572"/>
      <c r="AE66" s="572"/>
      <c r="AF66" s="572"/>
    </row>
    <row r="67" spans="28:44" x14ac:dyDescent="0.2">
      <c r="AB67" s="572"/>
      <c r="AC67" s="572"/>
      <c r="AD67" s="572"/>
      <c r="AE67" s="572"/>
      <c r="AF67" s="572"/>
      <c r="AR67" s="528">
        <f>AQ60-AQ22-AQ15</f>
        <v>447.69829089235429</v>
      </c>
    </row>
    <row r="68" spans="28:44" x14ac:dyDescent="0.2">
      <c r="AB68" s="572"/>
      <c r="AC68" s="572"/>
      <c r="AD68" s="572"/>
      <c r="AE68" s="572"/>
      <c r="AF68" s="572"/>
      <c r="AR68" s="150">
        <f>AR15+AR22+AR67</f>
        <v>530.46829089235428</v>
      </c>
    </row>
    <row r="69" spans="28:44" x14ac:dyDescent="0.2">
      <c r="AB69" s="572"/>
      <c r="AC69" s="572"/>
      <c r="AD69" s="572"/>
      <c r="AE69" s="572"/>
      <c r="AF69" s="572"/>
    </row>
  </sheetData>
  <mergeCells count="27">
    <mergeCell ref="AB66:AF69"/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63:AA64"/>
    <mergeCell ref="R11:R12"/>
    <mergeCell ref="S11:S12"/>
    <mergeCell ref="T11:T12"/>
    <mergeCell ref="V11:V12"/>
    <mergeCell ref="W11:W12"/>
    <mergeCell ref="Y11:Y12"/>
    <mergeCell ref="Q11:Q12"/>
    <mergeCell ref="J11:J12"/>
    <mergeCell ref="K11:K12"/>
    <mergeCell ref="L11:L12"/>
    <mergeCell ref="M11:M12"/>
    <mergeCell ref="O11:O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34"/>
  <sheetViews>
    <sheetView topLeftCell="A4" zoomScale="110" zoomScaleNormal="110" workbookViewId="0">
      <selection activeCell="F29" sqref="F2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9.140625" style="16" customWidth="1"/>
    <col min="21" max="21" width="8.42578125" style="16" hidden="1" customWidth="1"/>
    <col min="22" max="22" width="9" style="16" customWidth="1"/>
    <col min="23" max="23" width="11.42578125" style="16" customWidth="1"/>
    <col min="24" max="24" width="10.7109375" style="16" hidden="1" customWidth="1"/>
    <col min="25" max="25" width="10.140625" style="150" bestFit="1" customWidth="1"/>
    <col min="26" max="26" width="10" bestFit="1" customWidth="1"/>
    <col min="27" max="27" width="8.7109375" customWidth="1"/>
    <col min="28" max="28" width="8.7109375" style="121" customWidth="1"/>
    <col min="29" max="29" width="7.42578125" customWidth="1"/>
    <col min="30" max="30" width="9" customWidth="1"/>
    <col min="31" max="31" width="9.7109375" customWidth="1"/>
    <col min="32" max="36" width="7.7109375" hidden="1" customWidth="1"/>
    <col min="37" max="38" width="9" hidden="1" customWidth="1"/>
    <col min="39" max="39" width="9.42578125" hidden="1" customWidth="1"/>
    <col min="40" max="40" width="9" hidden="1" customWidth="1"/>
    <col min="41" max="41" width="9.140625" hidden="1" customWidth="1"/>
    <col min="42" max="42" width="9.28515625" hidden="1" customWidth="1"/>
    <col min="43" max="43" width="9.5703125" customWidth="1"/>
    <col min="44" max="44" width="9.7109375" customWidth="1"/>
    <col min="45" max="45" width="12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 t="s">
        <v>454</v>
      </c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764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52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54" t="s">
        <v>680</v>
      </c>
      <c r="O11" s="556" t="s">
        <v>643</v>
      </c>
      <c r="P11" s="359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56"/>
      <c r="V11" s="558" t="s">
        <v>746</v>
      </c>
      <c r="W11" s="558" t="s">
        <v>747</v>
      </c>
      <c r="X11" s="35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764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57"/>
      <c r="V12" s="569"/>
      <c r="W12" s="569"/>
      <c r="X12" s="358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765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766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171" t="s">
        <v>766</v>
      </c>
      <c r="B15" s="145" t="s">
        <v>767</v>
      </c>
      <c r="C15" s="87" t="s">
        <v>688</v>
      </c>
      <c r="D15" s="101">
        <v>5</v>
      </c>
      <c r="E15" s="48">
        <v>0.2</v>
      </c>
      <c r="F15" s="88">
        <v>42185</v>
      </c>
      <c r="G15" s="179">
        <v>60</v>
      </c>
      <c r="H15" s="201">
        <f t="shared" ref="H15:H22" si="0">100/G15</f>
        <v>1.6666666666666667</v>
      </c>
      <c r="I15" s="233">
        <f t="shared" ref="I15:I17" si="1">H15*J15</f>
        <v>15</v>
      </c>
      <c r="J15" s="90">
        <f t="shared" ref="J15:J22" si="2">(YEAR(F15)-YEAR(S15))*12+MONTH(F15)-MONTH(S15)</f>
        <v>9</v>
      </c>
      <c r="K15" s="233">
        <f t="shared" ref="K15:K22" si="3">L15*H15</f>
        <v>85</v>
      </c>
      <c r="L15" s="90">
        <f t="shared" ref="L15:L22" si="4">G15-J15</f>
        <v>51</v>
      </c>
      <c r="M15" s="233">
        <f t="shared" ref="M15:M22" si="5">N15*H15</f>
        <v>11.666666666666668</v>
      </c>
      <c r="N15" s="90">
        <v>7</v>
      </c>
      <c r="O15" s="233">
        <f t="shared" ref="O15:O17" si="6">K15-M15</f>
        <v>73.333333333333329</v>
      </c>
      <c r="P15" s="90">
        <f t="shared" ref="P15:P17" si="7">L15-N15</f>
        <v>44</v>
      </c>
      <c r="Q15" s="90">
        <f t="shared" ref="Q15:Q17" si="8">M15-O15</f>
        <v>-61.666666666666657</v>
      </c>
      <c r="R15" s="179" t="s">
        <v>771</v>
      </c>
      <c r="S15" s="52">
        <v>41908</v>
      </c>
      <c r="T15" s="9">
        <v>64913.599999999999</v>
      </c>
      <c r="U15" s="116"/>
      <c r="V15" s="222">
        <f t="shared" ref="V15:V22" si="9">SUM(T15*0.2/12*3)</f>
        <v>3245.6800000000003</v>
      </c>
      <c r="W15" s="222">
        <f>T15-V15</f>
        <v>61667.92</v>
      </c>
      <c r="X15" s="98">
        <f t="shared" ref="X15:X22" si="10">V15/3</f>
        <v>1081.8933333333334</v>
      </c>
      <c r="Y15" s="152">
        <f t="shared" ref="Y15:Y22" si="11">X15*5</f>
        <v>5409.4666666666672</v>
      </c>
      <c r="Z15" s="341">
        <f t="shared" ref="Z15:Z22" si="12">W15-Y15</f>
        <v>56258.453333333331</v>
      </c>
      <c r="AA15" s="100">
        <v>115.958</v>
      </c>
      <c r="AB15" s="100">
        <v>140.047</v>
      </c>
      <c r="AC15" s="100">
        <f t="shared" ref="AC15:AC22" si="13">AA15/AB15</f>
        <v>0.82799345933865065</v>
      </c>
      <c r="AD15" s="98">
        <f t="shared" ref="AD15:AD22" si="14">Z15*M15/100/K15*100/7</f>
        <v>1103.1069281045752</v>
      </c>
      <c r="AE15" s="98">
        <f t="shared" ref="AE15:AE22" si="15">AD15*AC15</f>
        <v>913.3653214217394</v>
      </c>
      <c r="AF15" s="98"/>
      <c r="AG15" s="98"/>
      <c r="AH15" s="98"/>
      <c r="AI15" s="98"/>
      <c r="AJ15" s="98"/>
      <c r="AK15" s="98">
        <f t="shared" ref="AK15:AK22" si="16">AE15</f>
        <v>913.3653214217394</v>
      </c>
      <c r="AL15" s="98">
        <v>913.3653214217394</v>
      </c>
      <c r="AM15" s="98">
        <v>913.3653214217394</v>
      </c>
      <c r="AN15" s="98">
        <v>913.3653214217394</v>
      </c>
      <c r="AO15" s="98">
        <v>913.3653214217394</v>
      </c>
      <c r="AP15" s="98">
        <v>913.3653214217394</v>
      </c>
      <c r="AQ15" s="98">
        <v>913.3653214217394</v>
      </c>
      <c r="AR15" s="98">
        <f>SUM(AF15:AQ15)</f>
        <v>6393.5572499521759</v>
      </c>
      <c r="AS15" s="116">
        <f>Z15-AR15</f>
        <v>49864.896083381158</v>
      </c>
    </row>
    <row r="16" spans="1:45" s="22" customFormat="1" x14ac:dyDescent="0.2">
      <c r="A16" s="171" t="s">
        <v>768</v>
      </c>
      <c r="B16" s="145" t="s">
        <v>769</v>
      </c>
      <c r="C16" s="87" t="s">
        <v>688</v>
      </c>
      <c r="D16" s="101">
        <v>5</v>
      </c>
      <c r="E16" s="48">
        <v>0.2</v>
      </c>
      <c r="F16" s="88">
        <v>42185</v>
      </c>
      <c r="G16" s="179">
        <v>60</v>
      </c>
      <c r="H16" s="201">
        <f t="shared" si="0"/>
        <v>1.6666666666666667</v>
      </c>
      <c r="I16" s="233">
        <f t="shared" si="1"/>
        <v>15</v>
      </c>
      <c r="J16" s="90">
        <f t="shared" si="2"/>
        <v>9</v>
      </c>
      <c r="K16" s="233">
        <f t="shared" si="3"/>
        <v>85</v>
      </c>
      <c r="L16" s="90">
        <f t="shared" si="4"/>
        <v>51</v>
      </c>
      <c r="M16" s="233">
        <f t="shared" si="5"/>
        <v>11.666666666666668</v>
      </c>
      <c r="N16" s="90">
        <v>7</v>
      </c>
      <c r="O16" s="233">
        <f t="shared" si="6"/>
        <v>73.333333333333329</v>
      </c>
      <c r="P16" s="90">
        <f t="shared" si="7"/>
        <v>44</v>
      </c>
      <c r="Q16" s="90">
        <f t="shared" si="8"/>
        <v>-61.666666666666657</v>
      </c>
      <c r="R16" s="179" t="s">
        <v>771</v>
      </c>
      <c r="S16" s="52">
        <v>41908</v>
      </c>
      <c r="T16" s="9">
        <v>72210</v>
      </c>
      <c r="U16" s="116"/>
      <c r="V16" s="222">
        <f t="shared" si="9"/>
        <v>3610.5</v>
      </c>
      <c r="W16" s="222">
        <f>T16-V16</f>
        <v>68599.5</v>
      </c>
      <c r="X16" s="98">
        <f t="shared" si="10"/>
        <v>1203.5</v>
      </c>
      <c r="Y16" s="152">
        <f t="shared" si="11"/>
        <v>6017.5</v>
      </c>
      <c r="Z16" s="341">
        <f t="shared" si="12"/>
        <v>62582</v>
      </c>
      <c r="AA16" s="100">
        <v>115.958</v>
      </c>
      <c r="AB16" s="100">
        <v>140.047</v>
      </c>
      <c r="AC16" s="100">
        <f t="shared" si="13"/>
        <v>0.82799345933865065</v>
      </c>
      <c r="AD16" s="98">
        <f t="shared" si="14"/>
        <v>1227.0980392156864</v>
      </c>
      <c r="AE16" s="98">
        <f t="shared" si="15"/>
        <v>1016.0291504378714</v>
      </c>
      <c r="AF16" s="98"/>
      <c r="AG16" s="98"/>
      <c r="AH16" s="98"/>
      <c r="AI16" s="98"/>
      <c r="AJ16" s="98"/>
      <c r="AK16" s="98">
        <f t="shared" si="16"/>
        <v>1016.0291504378714</v>
      </c>
      <c r="AL16" s="98">
        <v>1016.0291504378714</v>
      </c>
      <c r="AM16" s="98">
        <v>1016.0291504378714</v>
      </c>
      <c r="AN16" s="98">
        <v>1016.0291504378714</v>
      </c>
      <c r="AO16" s="98">
        <v>1016.0291504378714</v>
      </c>
      <c r="AP16" s="98">
        <v>1016.0291504378714</v>
      </c>
      <c r="AQ16" s="98">
        <v>1016.0291504378714</v>
      </c>
      <c r="AR16" s="98">
        <f t="shared" ref="AR16:AR22" si="17">SUM(AF16:AQ16)</f>
        <v>7112.2040530650993</v>
      </c>
      <c r="AS16" s="116">
        <f t="shared" ref="AS16:AS22" si="18">Z16-AR16</f>
        <v>55469.795946934901</v>
      </c>
    </row>
    <row r="17" spans="1:45" s="22" customFormat="1" x14ac:dyDescent="0.2">
      <c r="A17" s="171" t="s">
        <v>777</v>
      </c>
      <c r="B17" s="145" t="s">
        <v>770</v>
      </c>
      <c r="C17" s="87" t="s">
        <v>688</v>
      </c>
      <c r="D17" s="101">
        <v>5</v>
      </c>
      <c r="E17" s="48">
        <v>0.2</v>
      </c>
      <c r="F17" s="88">
        <v>42185</v>
      </c>
      <c r="G17" s="179">
        <v>60</v>
      </c>
      <c r="H17" s="201">
        <f t="shared" si="0"/>
        <v>1.6666666666666667</v>
      </c>
      <c r="I17" s="233">
        <f t="shared" si="1"/>
        <v>15</v>
      </c>
      <c r="J17" s="90">
        <f t="shared" si="2"/>
        <v>9</v>
      </c>
      <c r="K17" s="233">
        <f t="shared" si="3"/>
        <v>85</v>
      </c>
      <c r="L17" s="90">
        <f t="shared" si="4"/>
        <v>51</v>
      </c>
      <c r="M17" s="233">
        <f t="shared" si="5"/>
        <v>11.666666666666668</v>
      </c>
      <c r="N17" s="90">
        <v>7</v>
      </c>
      <c r="O17" s="233">
        <f t="shared" si="6"/>
        <v>73.333333333333329</v>
      </c>
      <c r="P17" s="90">
        <f t="shared" si="7"/>
        <v>44</v>
      </c>
      <c r="Q17" s="90">
        <f t="shared" si="8"/>
        <v>-61.666666666666657</v>
      </c>
      <c r="R17" s="179" t="s">
        <v>771</v>
      </c>
      <c r="S17" s="52">
        <v>41908</v>
      </c>
      <c r="T17" s="9">
        <v>75400</v>
      </c>
      <c r="U17" s="116"/>
      <c r="V17" s="222">
        <f t="shared" si="9"/>
        <v>3770</v>
      </c>
      <c r="W17" s="222">
        <f>T17-V17</f>
        <v>71630</v>
      </c>
      <c r="X17" s="98">
        <f t="shared" si="10"/>
        <v>1256.6666666666667</v>
      </c>
      <c r="Y17" s="152">
        <f t="shared" si="11"/>
        <v>6283.3333333333339</v>
      </c>
      <c r="Z17" s="341">
        <f t="shared" si="12"/>
        <v>65346.666666666664</v>
      </c>
      <c r="AA17" s="100">
        <v>115.958</v>
      </c>
      <c r="AB17" s="100">
        <v>140.047</v>
      </c>
      <c r="AC17" s="100">
        <f t="shared" si="13"/>
        <v>0.82799345933865065</v>
      </c>
      <c r="AD17" s="98">
        <f t="shared" si="14"/>
        <v>1281.3071895424837</v>
      </c>
      <c r="AE17" s="98">
        <f t="shared" si="15"/>
        <v>1060.9139723447652</v>
      </c>
      <c r="AF17" s="98"/>
      <c r="AG17" s="98"/>
      <c r="AH17" s="98"/>
      <c r="AI17" s="98"/>
      <c r="AJ17" s="98"/>
      <c r="AK17" s="98">
        <f t="shared" si="16"/>
        <v>1060.9139723447652</v>
      </c>
      <c r="AL17" s="98">
        <v>1060.9139723447652</v>
      </c>
      <c r="AM17" s="98">
        <v>1060.9139723447652</v>
      </c>
      <c r="AN17" s="98">
        <v>1060.9139723447652</v>
      </c>
      <c r="AO17" s="98">
        <v>1060.9139723447652</v>
      </c>
      <c r="AP17" s="98">
        <v>1060.9139723447652</v>
      </c>
      <c r="AQ17" s="98">
        <v>1060.9139723447652</v>
      </c>
      <c r="AR17" s="98">
        <f t="shared" si="17"/>
        <v>7426.3978064133562</v>
      </c>
      <c r="AS17" s="116">
        <f t="shared" si="18"/>
        <v>57920.268860253309</v>
      </c>
    </row>
    <row r="18" spans="1:45" s="22" customFormat="1" x14ac:dyDescent="0.2">
      <c r="A18" s="171" t="s">
        <v>772</v>
      </c>
      <c r="B18" s="145" t="s">
        <v>773</v>
      </c>
      <c r="C18" s="87" t="s">
        <v>688</v>
      </c>
      <c r="D18" s="101">
        <v>5</v>
      </c>
      <c r="E18" s="48">
        <v>0.2</v>
      </c>
      <c r="F18" s="88">
        <v>42185</v>
      </c>
      <c r="G18" s="179">
        <v>60</v>
      </c>
      <c r="H18" s="201">
        <f t="shared" si="0"/>
        <v>1.6666666666666667</v>
      </c>
      <c r="I18" s="233">
        <f t="shared" ref="I18:I21" si="19">H18*J18</f>
        <v>15</v>
      </c>
      <c r="J18" s="90">
        <f t="shared" si="2"/>
        <v>9</v>
      </c>
      <c r="K18" s="233">
        <f t="shared" si="3"/>
        <v>85</v>
      </c>
      <c r="L18" s="90">
        <f t="shared" si="4"/>
        <v>51</v>
      </c>
      <c r="M18" s="233">
        <f t="shared" si="5"/>
        <v>11.666666666666668</v>
      </c>
      <c r="N18" s="90">
        <v>7</v>
      </c>
      <c r="O18" s="233">
        <f t="shared" ref="O18:O21" si="20">K18-M18</f>
        <v>73.333333333333329</v>
      </c>
      <c r="P18" s="90">
        <f t="shared" ref="P18:P21" si="21">L18-N18</f>
        <v>44</v>
      </c>
      <c r="Q18" s="90">
        <f t="shared" ref="Q18:Q21" si="22">M18-O18</f>
        <v>-61.666666666666657</v>
      </c>
      <c r="R18" s="179" t="s">
        <v>771</v>
      </c>
      <c r="S18" s="52">
        <v>41908</v>
      </c>
      <c r="T18" s="9">
        <v>93264</v>
      </c>
      <c r="U18" s="116"/>
      <c r="V18" s="222">
        <f t="shared" si="9"/>
        <v>4663.2</v>
      </c>
      <c r="W18" s="222">
        <f>T18-V18</f>
        <v>88600.8</v>
      </c>
      <c r="X18" s="98">
        <f t="shared" si="10"/>
        <v>1554.3999999999999</v>
      </c>
      <c r="Y18" s="152">
        <f t="shared" si="11"/>
        <v>7771.9999999999991</v>
      </c>
      <c r="Z18" s="341">
        <f t="shared" si="12"/>
        <v>80828.800000000003</v>
      </c>
      <c r="AA18" s="100">
        <v>115.958</v>
      </c>
      <c r="AB18" s="100">
        <v>140.047</v>
      </c>
      <c r="AC18" s="100">
        <f t="shared" si="13"/>
        <v>0.82799345933865065</v>
      </c>
      <c r="AD18" s="98">
        <f t="shared" si="14"/>
        <v>1584.8784313725489</v>
      </c>
      <c r="AE18" s="98">
        <f t="shared" si="15"/>
        <v>1312.268975023371</v>
      </c>
      <c r="AF18" s="98"/>
      <c r="AG18" s="98"/>
      <c r="AH18" s="98"/>
      <c r="AI18" s="98"/>
      <c r="AJ18" s="98"/>
      <c r="AK18" s="98">
        <f t="shared" si="16"/>
        <v>1312.268975023371</v>
      </c>
      <c r="AL18" s="98">
        <v>1312.268975023371</v>
      </c>
      <c r="AM18" s="98">
        <v>1312.268975023371</v>
      </c>
      <c r="AN18" s="98">
        <v>1312.268975023371</v>
      </c>
      <c r="AO18" s="98">
        <v>1312.268975023371</v>
      </c>
      <c r="AP18" s="98">
        <v>1312.268975023371</v>
      </c>
      <c r="AQ18" s="98">
        <v>1312.268975023371</v>
      </c>
      <c r="AR18" s="98">
        <f t="shared" si="17"/>
        <v>9185.8828251635969</v>
      </c>
      <c r="AS18" s="116">
        <f>Z18-AR18</f>
        <v>71642.917174836402</v>
      </c>
    </row>
    <row r="19" spans="1:45" s="22" customFormat="1" x14ac:dyDescent="0.2">
      <c r="A19" s="171" t="s">
        <v>774</v>
      </c>
      <c r="B19" s="145" t="s">
        <v>775</v>
      </c>
      <c r="C19" s="87" t="s">
        <v>688</v>
      </c>
      <c r="D19" s="101">
        <v>5</v>
      </c>
      <c r="E19" s="48">
        <v>0.2</v>
      </c>
      <c r="F19" s="88">
        <v>42185</v>
      </c>
      <c r="G19" s="179">
        <v>60</v>
      </c>
      <c r="H19" s="201">
        <f t="shared" si="0"/>
        <v>1.6666666666666667</v>
      </c>
      <c r="I19" s="233">
        <f t="shared" si="19"/>
        <v>15</v>
      </c>
      <c r="J19" s="90">
        <f t="shared" si="2"/>
        <v>9</v>
      </c>
      <c r="K19" s="233">
        <f t="shared" si="3"/>
        <v>85</v>
      </c>
      <c r="L19" s="90">
        <f t="shared" si="4"/>
        <v>51</v>
      </c>
      <c r="M19" s="233">
        <f t="shared" si="5"/>
        <v>11.666666666666668</v>
      </c>
      <c r="N19" s="90">
        <v>7</v>
      </c>
      <c r="O19" s="233">
        <f t="shared" si="20"/>
        <v>73.333333333333329</v>
      </c>
      <c r="P19" s="90">
        <f t="shared" si="21"/>
        <v>44</v>
      </c>
      <c r="Q19" s="90">
        <f t="shared" si="22"/>
        <v>-61.666666666666657</v>
      </c>
      <c r="R19" s="179" t="s">
        <v>771</v>
      </c>
      <c r="S19" s="52">
        <v>41908</v>
      </c>
      <c r="T19" s="9">
        <v>13998.88</v>
      </c>
      <c r="U19" s="116"/>
      <c r="V19" s="222">
        <f t="shared" si="9"/>
        <v>699.94399999999996</v>
      </c>
      <c r="W19" s="222">
        <f t="shared" ref="W19:W22" si="23">T19-V19</f>
        <v>13298.936</v>
      </c>
      <c r="X19" s="98">
        <f t="shared" si="10"/>
        <v>233.31466666666665</v>
      </c>
      <c r="Y19" s="152">
        <f t="shared" si="11"/>
        <v>1166.5733333333333</v>
      </c>
      <c r="Z19" s="341">
        <f t="shared" si="12"/>
        <v>12132.362666666666</v>
      </c>
      <c r="AA19" s="100">
        <v>115.958</v>
      </c>
      <c r="AB19" s="100">
        <v>140.047</v>
      </c>
      <c r="AC19" s="100">
        <f t="shared" si="13"/>
        <v>0.82799345933865065</v>
      </c>
      <c r="AD19" s="98">
        <f t="shared" si="14"/>
        <v>237.88946405228759</v>
      </c>
      <c r="AE19" s="98">
        <f t="shared" si="15"/>
        <v>196.97092028087118</v>
      </c>
      <c r="AF19" s="98"/>
      <c r="AG19" s="98"/>
      <c r="AH19" s="98"/>
      <c r="AI19" s="98"/>
      <c r="AJ19" s="98"/>
      <c r="AK19" s="98">
        <f t="shared" si="16"/>
        <v>196.97092028087118</v>
      </c>
      <c r="AL19" s="98">
        <v>196.97092028087118</v>
      </c>
      <c r="AM19" s="98">
        <v>196.97092028087118</v>
      </c>
      <c r="AN19" s="98">
        <v>196.97092028087118</v>
      </c>
      <c r="AO19" s="98">
        <v>196.97092028087118</v>
      </c>
      <c r="AP19" s="98">
        <v>196.97092028087118</v>
      </c>
      <c r="AQ19" s="98">
        <v>196.97092028087118</v>
      </c>
      <c r="AR19" s="98">
        <f t="shared" si="17"/>
        <v>1378.7964419660984</v>
      </c>
      <c r="AS19" s="116">
        <f t="shared" si="18"/>
        <v>10753.566224700568</v>
      </c>
    </row>
    <row r="20" spans="1:45" s="22" customFormat="1" x14ac:dyDescent="0.2">
      <c r="A20" s="171" t="s">
        <v>776</v>
      </c>
      <c r="B20" s="145" t="s">
        <v>778</v>
      </c>
      <c r="C20" s="87" t="s">
        <v>688</v>
      </c>
      <c r="D20" s="101">
        <v>5</v>
      </c>
      <c r="E20" s="48">
        <v>0.2</v>
      </c>
      <c r="F20" s="88">
        <v>42185</v>
      </c>
      <c r="G20" s="179">
        <v>60</v>
      </c>
      <c r="H20" s="201">
        <f t="shared" si="0"/>
        <v>1.6666666666666667</v>
      </c>
      <c r="I20" s="233">
        <f t="shared" si="19"/>
        <v>15</v>
      </c>
      <c r="J20" s="90">
        <f t="shared" si="2"/>
        <v>9</v>
      </c>
      <c r="K20" s="233">
        <f t="shared" si="3"/>
        <v>85</v>
      </c>
      <c r="L20" s="90">
        <f t="shared" si="4"/>
        <v>51</v>
      </c>
      <c r="M20" s="233">
        <f t="shared" si="5"/>
        <v>11.666666666666668</v>
      </c>
      <c r="N20" s="90">
        <v>7</v>
      </c>
      <c r="O20" s="233">
        <f t="shared" si="20"/>
        <v>73.333333333333329</v>
      </c>
      <c r="P20" s="90">
        <f t="shared" si="21"/>
        <v>44</v>
      </c>
      <c r="Q20" s="90">
        <f t="shared" si="22"/>
        <v>-61.666666666666657</v>
      </c>
      <c r="R20" s="179" t="s">
        <v>771</v>
      </c>
      <c r="S20" s="52">
        <v>41908</v>
      </c>
      <c r="T20" s="9">
        <v>6936.8</v>
      </c>
      <c r="U20" s="116"/>
      <c r="V20" s="222">
        <f t="shared" si="9"/>
        <v>346.84000000000003</v>
      </c>
      <c r="W20" s="222">
        <f t="shared" si="23"/>
        <v>6589.96</v>
      </c>
      <c r="X20" s="98">
        <f t="shared" si="10"/>
        <v>115.61333333333334</v>
      </c>
      <c r="Y20" s="152">
        <f t="shared" si="11"/>
        <v>578.06666666666672</v>
      </c>
      <c r="Z20" s="341">
        <f t="shared" si="12"/>
        <v>6011.8933333333334</v>
      </c>
      <c r="AA20" s="100">
        <v>115.958</v>
      </c>
      <c r="AB20" s="100">
        <v>140.047</v>
      </c>
      <c r="AC20" s="100">
        <f t="shared" si="13"/>
        <v>0.82799345933865065</v>
      </c>
      <c r="AD20" s="98">
        <f t="shared" si="14"/>
        <v>117.8802614379085</v>
      </c>
      <c r="AE20" s="98">
        <f t="shared" si="15"/>
        <v>97.604085455718405</v>
      </c>
      <c r="AF20" s="98"/>
      <c r="AG20" s="98"/>
      <c r="AH20" s="98"/>
      <c r="AI20" s="98"/>
      <c r="AJ20" s="98"/>
      <c r="AK20" s="98">
        <f t="shared" si="16"/>
        <v>97.604085455718405</v>
      </c>
      <c r="AL20" s="98">
        <v>97.604085455718405</v>
      </c>
      <c r="AM20" s="98">
        <v>97.604085455718405</v>
      </c>
      <c r="AN20" s="98">
        <v>97.604085455718405</v>
      </c>
      <c r="AO20" s="98">
        <v>97.604085455718405</v>
      </c>
      <c r="AP20" s="98">
        <v>97.604085455718405</v>
      </c>
      <c r="AQ20" s="98">
        <v>97.604085455718405</v>
      </c>
      <c r="AR20" s="98">
        <f t="shared" si="17"/>
        <v>683.22859819002883</v>
      </c>
      <c r="AS20" s="116">
        <f t="shared" si="18"/>
        <v>5328.6647351433048</v>
      </c>
    </row>
    <row r="21" spans="1:45" s="22" customFormat="1" x14ac:dyDescent="0.2">
      <c r="A21" s="171" t="s">
        <v>779</v>
      </c>
      <c r="B21" s="145" t="s">
        <v>780</v>
      </c>
      <c r="C21" s="87" t="s">
        <v>688</v>
      </c>
      <c r="D21" s="101">
        <v>5</v>
      </c>
      <c r="E21" s="48">
        <v>0.2</v>
      </c>
      <c r="F21" s="88">
        <v>42185</v>
      </c>
      <c r="G21" s="179">
        <v>60</v>
      </c>
      <c r="H21" s="201">
        <f t="shared" si="0"/>
        <v>1.6666666666666667</v>
      </c>
      <c r="I21" s="233">
        <f t="shared" si="19"/>
        <v>15</v>
      </c>
      <c r="J21" s="90">
        <f t="shared" si="2"/>
        <v>9</v>
      </c>
      <c r="K21" s="233">
        <f t="shared" si="3"/>
        <v>85</v>
      </c>
      <c r="L21" s="90">
        <f t="shared" si="4"/>
        <v>51</v>
      </c>
      <c r="M21" s="233">
        <f t="shared" si="5"/>
        <v>11.666666666666668</v>
      </c>
      <c r="N21" s="90">
        <v>7</v>
      </c>
      <c r="O21" s="233">
        <f t="shared" si="20"/>
        <v>73.333333333333329</v>
      </c>
      <c r="P21" s="90">
        <f t="shared" si="21"/>
        <v>44</v>
      </c>
      <c r="Q21" s="90">
        <f t="shared" si="22"/>
        <v>-61.666666666666657</v>
      </c>
      <c r="R21" s="179" t="s">
        <v>771</v>
      </c>
      <c r="S21" s="52">
        <v>41908</v>
      </c>
      <c r="T21" s="9">
        <v>19486.84</v>
      </c>
      <c r="U21" s="116"/>
      <c r="V21" s="222">
        <f t="shared" si="9"/>
        <v>974.3420000000001</v>
      </c>
      <c r="W21" s="222">
        <f t="shared" si="23"/>
        <v>18512.498</v>
      </c>
      <c r="X21" s="98">
        <f t="shared" si="10"/>
        <v>324.78066666666672</v>
      </c>
      <c r="Y21" s="152">
        <f t="shared" si="11"/>
        <v>1623.9033333333336</v>
      </c>
      <c r="Z21" s="341">
        <f t="shared" si="12"/>
        <v>16888.594666666664</v>
      </c>
      <c r="AA21" s="100">
        <v>115.958</v>
      </c>
      <c r="AB21" s="100">
        <v>140.047</v>
      </c>
      <c r="AC21" s="100">
        <f t="shared" si="13"/>
        <v>0.82799345933865065</v>
      </c>
      <c r="AD21" s="98">
        <f t="shared" si="14"/>
        <v>331.14891503267972</v>
      </c>
      <c r="AE21" s="98">
        <f t="shared" si="15"/>
        <v>274.18913571414936</v>
      </c>
      <c r="AF21" s="98"/>
      <c r="AG21" s="98"/>
      <c r="AH21" s="98"/>
      <c r="AI21" s="98"/>
      <c r="AJ21" s="98"/>
      <c r="AK21" s="98">
        <f t="shared" si="16"/>
        <v>274.18913571414936</v>
      </c>
      <c r="AL21" s="98">
        <v>274.18913571414936</v>
      </c>
      <c r="AM21" s="98">
        <v>274.18913571414936</v>
      </c>
      <c r="AN21" s="98">
        <v>274.18913571414936</v>
      </c>
      <c r="AO21" s="98">
        <v>274.18913571414936</v>
      </c>
      <c r="AP21" s="98">
        <v>274.18913571414936</v>
      </c>
      <c r="AQ21" s="98">
        <v>274.18913571414936</v>
      </c>
      <c r="AR21" s="98">
        <f t="shared" si="17"/>
        <v>1919.3239499990457</v>
      </c>
      <c r="AS21" s="116">
        <f t="shared" si="18"/>
        <v>14969.270716667619</v>
      </c>
    </row>
    <row r="22" spans="1:45" s="22" customFormat="1" x14ac:dyDescent="0.2">
      <c r="A22" s="171" t="s">
        <v>781</v>
      </c>
      <c r="B22" s="145" t="s">
        <v>782</v>
      </c>
      <c r="C22" s="87" t="s">
        <v>688</v>
      </c>
      <c r="D22" s="101">
        <v>5</v>
      </c>
      <c r="E22" s="48">
        <v>0.2</v>
      </c>
      <c r="F22" s="88">
        <v>42185</v>
      </c>
      <c r="G22" s="179">
        <v>60</v>
      </c>
      <c r="H22" s="201">
        <f t="shared" si="0"/>
        <v>1.6666666666666667</v>
      </c>
      <c r="I22" s="233">
        <f t="shared" ref="I22" si="24">H22*J22</f>
        <v>15</v>
      </c>
      <c r="J22" s="90">
        <f t="shared" si="2"/>
        <v>9</v>
      </c>
      <c r="K22" s="233">
        <f t="shared" si="3"/>
        <v>85</v>
      </c>
      <c r="L22" s="90">
        <f t="shared" si="4"/>
        <v>51</v>
      </c>
      <c r="M22" s="233">
        <f t="shared" si="5"/>
        <v>11.666666666666668</v>
      </c>
      <c r="N22" s="90">
        <v>7</v>
      </c>
      <c r="O22" s="233">
        <f t="shared" ref="O22:Q22" si="25">K22-M22</f>
        <v>73.333333333333329</v>
      </c>
      <c r="P22" s="90">
        <f t="shared" si="25"/>
        <v>44</v>
      </c>
      <c r="Q22" s="90">
        <f t="shared" si="25"/>
        <v>-61.666666666666657</v>
      </c>
      <c r="R22" s="179" t="s">
        <v>771</v>
      </c>
      <c r="S22" s="52">
        <v>41908</v>
      </c>
      <c r="T22" s="9">
        <v>301600</v>
      </c>
      <c r="U22" s="116"/>
      <c r="V22" s="222">
        <f t="shared" si="9"/>
        <v>15080</v>
      </c>
      <c r="W22" s="222">
        <f t="shared" si="23"/>
        <v>286520</v>
      </c>
      <c r="X22" s="98">
        <f t="shared" si="10"/>
        <v>5026.666666666667</v>
      </c>
      <c r="Y22" s="152">
        <f t="shared" si="11"/>
        <v>25133.333333333336</v>
      </c>
      <c r="Z22" s="341">
        <f t="shared" si="12"/>
        <v>261386.66666666666</v>
      </c>
      <c r="AA22" s="100">
        <v>115.958</v>
      </c>
      <c r="AB22" s="100">
        <v>140.047</v>
      </c>
      <c r="AC22" s="100">
        <f t="shared" si="13"/>
        <v>0.82799345933865065</v>
      </c>
      <c r="AD22" s="98">
        <f t="shared" si="14"/>
        <v>5125.2287581699347</v>
      </c>
      <c r="AE22" s="98">
        <f t="shared" si="15"/>
        <v>4243.6558893790607</v>
      </c>
      <c r="AF22" s="98"/>
      <c r="AG22" s="98"/>
      <c r="AH22" s="98"/>
      <c r="AI22" s="98"/>
      <c r="AJ22" s="98"/>
      <c r="AK22" s="98">
        <f t="shared" si="16"/>
        <v>4243.6558893790607</v>
      </c>
      <c r="AL22" s="98">
        <v>4243.6558893790607</v>
      </c>
      <c r="AM22" s="98">
        <v>4243.6558893790607</v>
      </c>
      <c r="AN22" s="98">
        <v>4243.6558893790607</v>
      </c>
      <c r="AO22" s="98">
        <v>4243.6558893790607</v>
      </c>
      <c r="AP22" s="98">
        <v>4243.6558893790607</v>
      </c>
      <c r="AQ22" s="98">
        <v>4243.6558893790607</v>
      </c>
      <c r="AR22" s="98">
        <f t="shared" si="17"/>
        <v>29705.591225653425</v>
      </c>
      <c r="AS22" s="116">
        <f t="shared" si="18"/>
        <v>231681.07544101324</v>
      </c>
    </row>
    <row r="23" spans="1:45" s="22" customFormat="1" x14ac:dyDescent="0.2">
      <c r="A23" s="172" t="s">
        <v>783</v>
      </c>
      <c r="B23" s="41"/>
      <c r="C23" s="178"/>
      <c r="D23" s="157"/>
      <c r="E23" s="38"/>
      <c r="F23" s="29"/>
      <c r="G23" s="179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179"/>
      <c r="S23" s="171"/>
      <c r="T23" s="11"/>
      <c r="U23" s="116"/>
      <c r="V23" s="222"/>
      <c r="W23" s="222"/>
      <c r="X23" s="98"/>
      <c r="Y23" s="152"/>
      <c r="Z23" s="341"/>
      <c r="AA23" s="100"/>
      <c r="AB23" s="196"/>
      <c r="AC23" s="100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116"/>
    </row>
    <row r="24" spans="1:45" s="22" customFormat="1" x14ac:dyDescent="0.2">
      <c r="A24" s="172" t="s">
        <v>784</v>
      </c>
      <c r="B24" s="13"/>
      <c r="C24" s="87"/>
      <c r="D24" s="101"/>
      <c r="E24" s="48"/>
      <c r="F24" s="29"/>
      <c r="G24" s="334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179"/>
      <c r="S24" s="182"/>
      <c r="T24" s="11"/>
      <c r="U24" s="116"/>
      <c r="V24" s="222"/>
      <c r="W24" s="222"/>
      <c r="X24" s="98"/>
      <c r="Y24" s="152"/>
      <c r="Z24" s="341"/>
      <c r="AA24" s="100"/>
      <c r="AB24" s="129"/>
      <c r="AC24" s="100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116"/>
    </row>
    <row r="25" spans="1:45" s="22" customFormat="1" x14ac:dyDescent="0.2">
      <c r="A25" s="171" t="s">
        <v>784</v>
      </c>
      <c r="B25" s="145" t="s">
        <v>790</v>
      </c>
      <c r="C25" s="87" t="s">
        <v>464</v>
      </c>
      <c r="D25" s="101">
        <v>5</v>
      </c>
      <c r="E25" s="48">
        <v>0.2</v>
      </c>
      <c r="F25" s="88">
        <v>42185</v>
      </c>
      <c r="G25" s="179">
        <v>60</v>
      </c>
      <c r="H25" s="201">
        <f>100/G25</f>
        <v>1.6666666666666667</v>
      </c>
      <c r="I25" s="233">
        <f t="shared" ref="I25" si="26">H25*J25</f>
        <v>15</v>
      </c>
      <c r="J25" s="90">
        <f>(YEAR(F25)-YEAR(S25))*12+MONTH(F25)-MONTH(S25)</f>
        <v>9</v>
      </c>
      <c r="K25" s="233">
        <f>L25*H25</f>
        <v>85</v>
      </c>
      <c r="L25" s="90">
        <f>G25-J25</f>
        <v>51</v>
      </c>
      <c r="M25" s="233">
        <f>N25*H25</f>
        <v>11.666666666666668</v>
      </c>
      <c r="N25" s="90">
        <v>7</v>
      </c>
      <c r="O25" s="233">
        <f t="shared" ref="O25" si="27">K25-M25</f>
        <v>73.333333333333329</v>
      </c>
      <c r="P25" s="90">
        <f t="shared" ref="P25" si="28">L25-N25</f>
        <v>44</v>
      </c>
      <c r="Q25" s="90">
        <f t="shared" ref="Q25" si="29">M25-O25</f>
        <v>-61.666666666666657</v>
      </c>
      <c r="R25" s="179" t="s">
        <v>771</v>
      </c>
      <c r="S25" s="52">
        <v>41908</v>
      </c>
      <c r="T25" s="9">
        <v>280000</v>
      </c>
      <c r="U25" s="116"/>
      <c r="V25" s="222">
        <f>SUM(T25*0.2/12*3)</f>
        <v>14000</v>
      </c>
      <c r="W25" s="222">
        <f>T25-V25</f>
        <v>266000</v>
      </c>
      <c r="X25" s="98">
        <f>V25/3</f>
        <v>4666.666666666667</v>
      </c>
      <c r="Y25" s="152">
        <f>X25*5</f>
        <v>23333.333333333336</v>
      </c>
      <c r="Z25" s="341">
        <f>W25-Y25</f>
        <v>242666.66666666666</v>
      </c>
      <c r="AA25" s="100">
        <v>115.958</v>
      </c>
      <c r="AB25" s="100">
        <v>140.047</v>
      </c>
      <c r="AC25" s="100">
        <f>AA25/AB25</f>
        <v>0.82799345933865065</v>
      </c>
      <c r="AD25" s="98">
        <f>Z25*M25/100/K25*100/7</f>
        <v>4758.169934640523</v>
      </c>
      <c r="AE25" s="98">
        <f>AD25*AC25</f>
        <v>3939.7335843041678</v>
      </c>
      <c r="AF25" s="98"/>
      <c r="AG25" s="98"/>
      <c r="AH25" s="98"/>
      <c r="AI25" s="98"/>
      <c r="AJ25" s="98"/>
      <c r="AK25" s="98">
        <f>AE25</f>
        <v>3939.7335843041678</v>
      </c>
      <c r="AL25" s="98">
        <v>3939.7335843041678</v>
      </c>
      <c r="AM25" s="98">
        <v>3939.7335843041678</v>
      </c>
      <c r="AN25" s="98">
        <v>3939.7335843041678</v>
      </c>
      <c r="AO25" s="98">
        <v>3939.7335843041678</v>
      </c>
      <c r="AP25" s="98">
        <v>3939.7335843041678</v>
      </c>
      <c r="AQ25" s="98">
        <v>3939.7335843041678</v>
      </c>
      <c r="AR25" s="98">
        <f>SUM(AF25:AQ25)</f>
        <v>27578.135090129177</v>
      </c>
      <c r="AS25" s="116">
        <f t="shared" ref="AS25" si="30">Z25-AR25</f>
        <v>215088.53157653747</v>
      </c>
    </row>
    <row r="26" spans="1:45" s="22" customFormat="1" x14ac:dyDescent="0.2">
      <c r="A26" s="41" t="s">
        <v>131</v>
      </c>
      <c r="B26" s="41"/>
      <c r="C26" s="178"/>
      <c r="D26" s="157"/>
      <c r="E26" s="38"/>
      <c r="F26" s="88"/>
      <c r="G26" s="179"/>
      <c r="H26" s="201"/>
      <c r="I26" s="233"/>
      <c r="J26" s="90"/>
      <c r="K26" s="233"/>
      <c r="L26" s="90"/>
      <c r="M26" s="233"/>
      <c r="N26" s="90"/>
      <c r="O26" s="233"/>
      <c r="P26" s="90"/>
      <c r="Q26" s="90"/>
      <c r="R26" s="179"/>
      <c r="S26" s="171"/>
      <c r="T26" s="11"/>
      <c r="U26" s="116"/>
      <c r="V26" s="222"/>
      <c r="W26" s="222"/>
      <c r="X26" s="98"/>
      <c r="Y26" s="152"/>
      <c r="Z26" s="341"/>
      <c r="AA26" s="100"/>
      <c r="AB26" s="196"/>
      <c r="AC26" s="100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116"/>
    </row>
    <row r="27" spans="1:45" s="22" customFormat="1" x14ac:dyDescent="0.2">
      <c r="A27" s="172" t="s">
        <v>785</v>
      </c>
      <c r="B27" s="13"/>
      <c r="C27" s="87"/>
      <c r="D27" s="101"/>
      <c r="E27" s="48"/>
      <c r="F27" s="29"/>
      <c r="G27" s="179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179"/>
      <c r="S27" s="182"/>
      <c r="T27" s="11"/>
      <c r="U27" s="116"/>
      <c r="V27" s="222"/>
      <c r="W27" s="222"/>
      <c r="X27" s="98"/>
      <c r="Y27" s="152"/>
      <c r="Z27" s="341"/>
      <c r="AA27" s="100"/>
      <c r="AB27" s="129"/>
      <c r="AC27" s="100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116"/>
    </row>
    <row r="28" spans="1:45" s="22" customFormat="1" x14ac:dyDescent="0.2">
      <c r="A28" s="171" t="s">
        <v>786</v>
      </c>
      <c r="B28" s="145" t="s">
        <v>789</v>
      </c>
      <c r="C28" s="87" t="s">
        <v>502</v>
      </c>
      <c r="D28" s="101">
        <v>5</v>
      </c>
      <c r="E28" s="48">
        <v>0.2</v>
      </c>
      <c r="F28" s="88">
        <v>42185</v>
      </c>
      <c r="G28" s="179">
        <v>60</v>
      </c>
      <c r="H28" s="201">
        <f>100/G28</f>
        <v>1.6666666666666667</v>
      </c>
      <c r="I28" s="233">
        <f t="shared" ref="I28:I29" si="31">H28*J28</f>
        <v>15</v>
      </c>
      <c r="J28" s="90">
        <f>(YEAR(F28)-YEAR(S28))*12+MONTH(F28)-MONTH(S28)</f>
        <v>9</v>
      </c>
      <c r="K28" s="233">
        <f>L28*H28</f>
        <v>85</v>
      </c>
      <c r="L28" s="90">
        <f>G28-J28</f>
        <v>51</v>
      </c>
      <c r="M28" s="233">
        <f>N28*H28</f>
        <v>11.666666666666668</v>
      </c>
      <c r="N28" s="90">
        <v>7</v>
      </c>
      <c r="O28" s="233">
        <f t="shared" ref="O28:O29" si="32">K28-M28</f>
        <v>73.333333333333329</v>
      </c>
      <c r="P28" s="90">
        <f t="shared" ref="P28:P29" si="33">L28-N28</f>
        <v>44</v>
      </c>
      <c r="Q28" s="90">
        <f t="shared" ref="Q28:Q29" si="34">M28-O28</f>
        <v>-61.666666666666657</v>
      </c>
      <c r="R28" s="179" t="s">
        <v>771</v>
      </c>
      <c r="S28" s="52">
        <v>41908</v>
      </c>
      <c r="T28" s="9">
        <v>300000</v>
      </c>
      <c r="U28" s="116"/>
      <c r="V28" s="222">
        <f>SUM(T28*0.2/12*3)</f>
        <v>15000</v>
      </c>
      <c r="W28" s="222">
        <f>T28-V28</f>
        <v>285000</v>
      </c>
      <c r="X28" s="98">
        <f>V28/3</f>
        <v>5000</v>
      </c>
      <c r="Y28" s="152">
        <f>X28*5</f>
        <v>25000</v>
      </c>
      <c r="Z28" s="341">
        <f>W28-Y28</f>
        <v>260000</v>
      </c>
      <c r="AA28" s="100">
        <v>115.958</v>
      </c>
      <c r="AB28" s="100">
        <v>140.047</v>
      </c>
      <c r="AC28" s="100">
        <f>AA28/AB28</f>
        <v>0.82799345933865065</v>
      </c>
      <c r="AD28" s="98">
        <f>Z28*M28/100/K28*100/7</f>
        <v>5098.0392156862745</v>
      </c>
      <c r="AE28" s="98">
        <f>AD28*AC28</f>
        <v>4221.1431260401796</v>
      </c>
      <c r="AF28" s="98"/>
      <c r="AG28" s="98"/>
      <c r="AH28" s="98"/>
      <c r="AI28" s="98"/>
      <c r="AJ28" s="98"/>
      <c r="AK28" s="98">
        <f>AE28</f>
        <v>4221.1431260401796</v>
      </c>
      <c r="AL28" s="98">
        <v>4221.1431260401796</v>
      </c>
      <c r="AM28" s="98">
        <v>4221.1431260401796</v>
      </c>
      <c r="AN28" s="98">
        <v>4221.1431260401796</v>
      </c>
      <c r="AO28" s="98">
        <v>4221.1431260401796</v>
      </c>
      <c r="AP28" s="98">
        <v>4221.1431260401796</v>
      </c>
      <c r="AQ28" s="98">
        <v>4221.1431260401796</v>
      </c>
      <c r="AR28" s="98">
        <f>SUM(AF28:AQ28)</f>
        <v>29548.00188228126</v>
      </c>
      <c r="AS28" s="116">
        <f t="shared" ref="AS28:AS29" si="35">Z28-AR28</f>
        <v>230451.99811771873</v>
      </c>
    </row>
    <row r="29" spans="1:45" s="22" customFormat="1" x14ac:dyDescent="0.2">
      <c r="A29" s="171" t="s">
        <v>787</v>
      </c>
      <c r="B29" s="145" t="s">
        <v>788</v>
      </c>
      <c r="C29" s="87" t="s">
        <v>502</v>
      </c>
      <c r="D29" s="101">
        <v>5</v>
      </c>
      <c r="E29" s="48">
        <v>0.2</v>
      </c>
      <c r="F29" s="88" t="s">
        <v>1128</v>
      </c>
      <c r="G29" s="179">
        <v>60</v>
      </c>
      <c r="H29" s="201">
        <f>100/G29</f>
        <v>1.6666666666666667</v>
      </c>
      <c r="I29" s="233" t="e">
        <f t="shared" si="31"/>
        <v>#VALUE!</v>
      </c>
      <c r="J29" s="90" t="e">
        <f>(YEAR(F29)-YEAR(S29))*12+MONTH(F29)-MONTH(S29)</f>
        <v>#VALUE!</v>
      </c>
      <c r="K29" s="233" t="e">
        <f>L29*H29</f>
        <v>#VALUE!</v>
      </c>
      <c r="L29" s="90" t="e">
        <f>G29-J29</f>
        <v>#VALUE!</v>
      </c>
      <c r="M29" s="233">
        <f>N29*H29</f>
        <v>11.666666666666668</v>
      </c>
      <c r="N29" s="90">
        <v>7</v>
      </c>
      <c r="O29" s="233" t="e">
        <f t="shared" si="32"/>
        <v>#VALUE!</v>
      </c>
      <c r="P29" s="90" t="e">
        <f t="shared" si="33"/>
        <v>#VALUE!</v>
      </c>
      <c r="Q29" s="90" t="e">
        <f t="shared" si="34"/>
        <v>#VALUE!</v>
      </c>
      <c r="R29" s="179" t="s">
        <v>771</v>
      </c>
      <c r="S29" s="52">
        <v>41908</v>
      </c>
      <c r="T29" s="9">
        <v>880000</v>
      </c>
      <c r="U29" s="116"/>
      <c r="V29" s="222">
        <f>SUM(T29*0.2/12*3)</f>
        <v>44000</v>
      </c>
      <c r="W29" s="222">
        <f>T29-V29</f>
        <v>836000</v>
      </c>
      <c r="X29" s="98">
        <f>V29/3</f>
        <v>14666.666666666666</v>
      </c>
      <c r="Y29" s="152">
        <f>X29*5</f>
        <v>73333.333333333328</v>
      </c>
      <c r="Z29" s="341">
        <f>W29-Y29</f>
        <v>762666.66666666663</v>
      </c>
      <c r="AA29" s="100">
        <v>115.958</v>
      </c>
      <c r="AB29" s="100">
        <v>140.047</v>
      </c>
      <c r="AC29" s="100">
        <f>AA29/AB29</f>
        <v>0.82799345933865065</v>
      </c>
      <c r="AD29" s="98" t="e">
        <f>Z29*M29/100/K29*100/7</f>
        <v>#VALUE!</v>
      </c>
      <c r="AE29" s="98" t="e">
        <f>AD29*AC29</f>
        <v>#VALUE!</v>
      </c>
      <c r="AF29" s="98"/>
      <c r="AG29" s="98"/>
      <c r="AH29" s="98"/>
      <c r="AI29" s="98"/>
      <c r="AJ29" s="98"/>
      <c r="AK29" s="98" t="e">
        <f>AE29</f>
        <v>#VALUE!</v>
      </c>
      <c r="AL29" s="98">
        <v>12382.019836384527</v>
      </c>
      <c r="AM29" s="98">
        <v>12382.019836384527</v>
      </c>
      <c r="AN29" s="98">
        <v>12382.019836384527</v>
      </c>
      <c r="AO29" s="98">
        <v>12382.019836384527</v>
      </c>
      <c r="AP29" s="98">
        <v>12382.019836384527</v>
      </c>
      <c r="AQ29" s="98">
        <v>12382.019836384527</v>
      </c>
      <c r="AR29" s="98" t="e">
        <f>SUM(AF29:AQ29)</f>
        <v>#VALUE!</v>
      </c>
      <c r="AS29" s="116" t="e">
        <f t="shared" si="35"/>
        <v>#VALUE!</v>
      </c>
    </row>
    <row r="30" spans="1:45" x14ac:dyDescent="0.2">
      <c r="R30" s="243"/>
      <c r="V30" s="351">
        <f>SUM(V15:V29)</f>
        <v>105390.50599999999</v>
      </c>
      <c r="W30" s="351">
        <f>SUM(W15:W29)</f>
        <v>2002419.6140000001</v>
      </c>
      <c r="X30" s="351">
        <f>SUM(X23:X29)</f>
        <v>24333.333333333336</v>
      </c>
      <c r="Y30" s="351"/>
      <c r="Z30" s="351">
        <f>SUM(Z15:Z29)</f>
        <v>1826768.7706666663</v>
      </c>
      <c r="AA30" s="22"/>
      <c r="AD30" s="263"/>
      <c r="AE30" s="263"/>
      <c r="AF30" s="263" t="e">
        <f>SUM(#REF!)</f>
        <v>#REF!</v>
      </c>
      <c r="AG30" s="263" t="e">
        <f>SUM(#REF!)</f>
        <v>#REF!</v>
      </c>
      <c r="AH30" s="263" t="e">
        <f>SUM(#REF!)</f>
        <v>#REF!</v>
      </c>
      <c r="AI30" s="263" t="e">
        <f>SUM(#REF!)</f>
        <v>#REF!</v>
      </c>
      <c r="AJ30" s="263" t="e">
        <f>SUM(#REF!)</f>
        <v>#REF!</v>
      </c>
      <c r="AK30" s="263" t="e">
        <f>SUM(AK15:AK29)</f>
        <v>#VALUE!</v>
      </c>
      <c r="AL30" s="263"/>
      <c r="AM30" s="263"/>
      <c r="AN30" s="263"/>
      <c r="AO30" s="263"/>
      <c r="AP30" s="263">
        <f t="shared" ref="AP30:AR30" si="36">SUM(AP15:AP29)</f>
        <v>29657.893996786421</v>
      </c>
      <c r="AQ30" s="263">
        <f t="shared" si="36"/>
        <v>29657.893996786421</v>
      </c>
      <c r="AR30" s="263" t="e">
        <f t="shared" si="36"/>
        <v>#VALUE!</v>
      </c>
      <c r="AS30" s="263" t="e">
        <f>SUM(AS15:AS29)</f>
        <v>#VALUE!</v>
      </c>
    </row>
    <row r="31" spans="1:45" s="150" customFormat="1" x14ac:dyDescent="0.2">
      <c r="A31" s="156" t="s">
        <v>460</v>
      </c>
      <c r="B31" s="132"/>
      <c r="C31" s="132"/>
      <c r="D31" s="133"/>
      <c r="E31" s="133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4"/>
      <c r="S31" s="134"/>
      <c r="T31" s="135"/>
      <c r="U31" s="135"/>
      <c r="V31" s="135"/>
      <c r="W31" s="135"/>
      <c r="X31" s="135"/>
      <c r="Z31"/>
      <c r="AA31"/>
      <c r="AB31" s="12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 s="113"/>
    </row>
    <row r="32" spans="1:45" s="150" customFormat="1" x14ac:dyDescent="0.2">
      <c r="A32" s="310" t="s">
        <v>719</v>
      </c>
      <c r="B32" s="311"/>
      <c r="C32" s="311"/>
      <c r="D32" s="312"/>
      <c r="E32" s="312"/>
      <c r="F32"/>
      <c r="G32"/>
      <c r="H32"/>
      <c r="I32"/>
      <c r="J32"/>
      <c r="K32"/>
      <c r="L32"/>
      <c r="M32"/>
      <c r="N32"/>
      <c r="O32"/>
      <c r="P32"/>
      <c r="Q32"/>
      <c r="R32" s="28"/>
      <c r="S32" s="28"/>
      <c r="T32" s="16"/>
      <c r="U32" s="16"/>
      <c r="V32" s="16"/>
      <c r="W32" s="16"/>
      <c r="X32" s="16"/>
      <c r="Z32" s="338"/>
      <c r="AA32"/>
      <c r="AB32" s="130"/>
      <c r="AC32" s="130"/>
      <c r="AD32"/>
      <c r="AE32" s="16"/>
      <c r="AF32"/>
      <c r="AG32"/>
      <c r="AH32"/>
      <c r="AI32"/>
      <c r="AJ32"/>
      <c r="AK32"/>
      <c r="AL32"/>
      <c r="AM32"/>
      <c r="AN32"/>
      <c r="AO32"/>
      <c r="AP32"/>
      <c r="AQ32"/>
      <c r="AR32" s="510"/>
      <c r="AS32" s="113"/>
    </row>
    <row r="33" spans="1:45" ht="30.75" hidden="1" customHeight="1" x14ac:dyDescent="0.2">
      <c r="A33" s="568" t="s">
        <v>613</v>
      </c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  <c r="Y33" s="568"/>
      <c r="Z33" s="568"/>
      <c r="AA33" s="568"/>
      <c r="AB33" s="239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</row>
    <row r="34" spans="1:45" hidden="1" x14ac:dyDescent="0.2">
      <c r="A34" s="568"/>
      <c r="B34" s="568"/>
      <c r="C34" s="568"/>
      <c r="D34" s="568"/>
      <c r="E34" s="568"/>
      <c r="F34" s="568"/>
      <c r="G34" s="568"/>
      <c r="H34" s="568"/>
      <c r="I34" s="568"/>
      <c r="J34" s="568"/>
      <c r="K34" s="568"/>
      <c r="L34" s="568"/>
      <c r="M34" s="568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</row>
  </sheetData>
  <mergeCells count="26"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33:AA34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39370078740157483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29"/>
  <sheetViews>
    <sheetView topLeftCell="P1" zoomScale="110" zoomScaleNormal="110" workbookViewId="0">
      <selection activeCell="AR33" sqref="AR33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42" width="7.7109375" hidden="1" customWidth="1"/>
    <col min="43" max="43" width="7.7109375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/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791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52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54" t="s">
        <v>680</v>
      </c>
      <c r="O11" s="556" t="s">
        <v>643</v>
      </c>
      <c r="P11" s="359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56"/>
      <c r="V11" s="558" t="s">
        <v>746</v>
      </c>
      <c r="W11" s="558" t="s">
        <v>747</v>
      </c>
      <c r="X11" s="35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586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57"/>
      <c r="V12" s="569"/>
      <c r="W12" s="569"/>
      <c r="X12" s="358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792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530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171" t="s">
        <v>793</v>
      </c>
      <c r="B15" s="145" t="s">
        <v>794</v>
      </c>
      <c r="C15" s="87" t="s">
        <v>586</v>
      </c>
      <c r="D15" s="101">
        <v>10</v>
      </c>
      <c r="E15" s="48">
        <v>0.1</v>
      </c>
      <c r="F15" s="88">
        <v>42185</v>
      </c>
      <c r="G15" s="179">
        <v>120</v>
      </c>
      <c r="H15" s="201">
        <f>100/G15</f>
        <v>0.83333333333333337</v>
      </c>
      <c r="I15" s="233">
        <f t="shared" ref="I15" si="0">H15*J15</f>
        <v>64.166666666666671</v>
      </c>
      <c r="J15" s="90">
        <f>(YEAR(F15)-YEAR(S15))*12+MONTH(F15)-MONTH(S15)</f>
        <v>77</v>
      </c>
      <c r="K15" s="233">
        <f>L15*H15</f>
        <v>35.833333333333336</v>
      </c>
      <c r="L15" s="90">
        <f>G15-J15</f>
        <v>43</v>
      </c>
      <c r="M15" s="233">
        <f>N15*H15</f>
        <v>5.8333333333333339</v>
      </c>
      <c r="N15" s="90">
        <v>7</v>
      </c>
      <c r="O15" s="233">
        <f t="shared" ref="O15:Q15" si="1">K15-M15</f>
        <v>30</v>
      </c>
      <c r="P15" s="90">
        <f t="shared" si="1"/>
        <v>36</v>
      </c>
      <c r="Q15" s="90">
        <f t="shared" si="1"/>
        <v>-24.166666666666664</v>
      </c>
      <c r="R15" s="179" t="s">
        <v>595</v>
      </c>
      <c r="S15" s="52">
        <v>39814</v>
      </c>
      <c r="T15" s="9">
        <v>1100</v>
      </c>
      <c r="U15" s="116"/>
      <c r="V15" s="222">
        <f>T15*I15%</f>
        <v>705.83333333333337</v>
      </c>
      <c r="W15" s="222">
        <f>T15-V15</f>
        <v>394.16666666666663</v>
      </c>
      <c r="X15" s="98">
        <f>T15*H15%</f>
        <v>9.1666666666666661</v>
      </c>
      <c r="Y15" s="152">
        <f>X15*5</f>
        <v>45.833333333333329</v>
      </c>
      <c r="Z15" s="341">
        <f>W15-Y15</f>
        <v>348.33333333333331</v>
      </c>
      <c r="AA15" s="100">
        <v>115.958</v>
      </c>
      <c r="AB15" s="100">
        <v>134.071</v>
      </c>
      <c r="AC15" s="100">
        <f>AA15/AB15</f>
        <v>0.8648999410759971</v>
      </c>
      <c r="AD15" s="98">
        <f>Z15*M15/100/K15*100/7</f>
        <v>8.1007751937984498</v>
      </c>
      <c r="AE15" s="98">
        <f>AD15*AC15</f>
        <v>7.006359987786178</v>
      </c>
      <c r="AF15" s="98"/>
      <c r="AG15" s="98"/>
      <c r="AH15" s="98"/>
      <c r="AI15" s="98"/>
      <c r="AJ15" s="98"/>
      <c r="AK15" s="98">
        <f>AE15</f>
        <v>7.006359987786178</v>
      </c>
      <c r="AL15" s="98">
        <v>7.006359987786178</v>
      </c>
      <c r="AM15" s="98">
        <v>7.006359987786178</v>
      </c>
      <c r="AN15" s="98">
        <v>7.006359987786178</v>
      </c>
      <c r="AO15" s="98">
        <v>7.006359987786178</v>
      </c>
      <c r="AP15" s="98">
        <v>7.006359987786178</v>
      </c>
      <c r="AQ15" s="98">
        <v>7.006359987786178</v>
      </c>
      <c r="AR15" s="98">
        <f>SUM(AF15:AQ15)</f>
        <v>49.04451991450324</v>
      </c>
      <c r="AS15" s="116">
        <f>Z15-AR15</f>
        <v>299.28881341883005</v>
      </c>
    </row>
    <row r="16" spans="1:45" s="22" customFormat="1" x14ac:dyDescent="0.2">
      <c r="A16" s="172" t="s">
        <v>68</v>
      </c>
      <c r="B16" s="172"/>
      <c r="C16" s="178"/>
      <c r="D16" s="42"/>
      <c r="E16" s="3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9"/>
      <c r="S16" s="29"/>
      <c r="T16" s="18"/>
      <c r="U16" s="18"/>
      <c r="V16" s="18"/>
      <c r="W16" s="18"/>
      <c r="X16" s="18"/>
      <c r="Y16" s="154"/>
      <c r="Z16" s="110"/>
      <c r="AA16" s="110"/>
      <c r="AB16" s="126"/>
      <c r="AC16" s="110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17"/>
    </row>
    <row r="17" spans="1:45" s="22" customFormat="1" x14ac:dyDescent="0.2">
      <c r="A17" s="172" t="s">
        <v>795</v>
      </c>
      <c r="B17" s="13"/>
      <c r="C17" s="87"/>
      <c r="D17" s="208"/>
      <c r="E17" s="3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8"/>
      <c r="V17" s="18"/>
      <c r="W17" s="18"/>
      <c r="X17" s="18"/>
      <c r="Y17" s="154"/>
      <c r="Z17" s="110"/>
      <c r="AA17" s="110"/>
      <c r="AB17" s="158"/>
      <c r="AC17" s="110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17"/>
    </row>
    <row r="18" spans="1:45" s="22" customFormat="1" x14ac:dyDescent="0.2">
      <c r="A18" s="171" t="s">
        <v>796</v>
      </c>
      <c r="B18" s="145" t="s">
        <v>797</v>
      </c>
      <c r="C18" s="87" t="s">
        <v>586</v>
      </c>
      <c r="D18" s="101">
        <v>10</v>
      </c>
      <c r="E18" s="48">
        <v>0.1</v>
      </c>
      <c r="F18" s="88">
        <v>42185</v>
      </c>
      <c r="G18" s="179">
        <v>120</v>
      </c>
      <c r="H18" s="201">
        <f>100/G18</f>
        <v>0.83333333333333337</v>
      </c>
      <c r="I18" s="233">
        <f t="shared" ref="I18" si="2">H18*J18</f>
        <v>4.166666666666667</v>
      </c>
      <c r="J18" s="90">
        <f>(YEAR(F18)-YEAR(S18))*12+MONTH(F18)-MONTH(S18)</f>
        <v>5</v>
      </c>
      <c r="K18" s="233">
        <f>L18*H18</f>
        <v>95.833333333333343</v>
      </c>
      <c r="L18" s="90">
        <f>G18-J18</f>
        <v>115</v>
      </c>
      <c r="M18" s="233">
        <f>N18*H18</f>
        <v>5.8333333333333339</v>
      </c>
      <c r="N18" s="90">
        <v>7</v>
      </c>
      <c r="O18" s="233">
        <f t="shared" ref="O18:Q18" si="3">K18-M18</f>
        <v>90.000000000000014</v>
      </c>
      <c r="P18" s="90">
        <f t="shared" si="3"/>
        <v>108</v>
      </c>
      <c r="Q18" s="90">
        <f t="shared" si="3"/>
        <v>-84.166666666666686</v>
      </c>
      <c r="R18" s="179" t="s">
        <v>595</v>
      </c>
      <c r="S18" s="52">
        <v>42005</v>
      </c>
      <c r="T18" s="9">
        <v>1000</v>
      </c>
      <c r="U18" s="116"/>
      <c r="V18" s="222">
        <v>0</v>
      </c>
      <c r="W18" s="222">
        <f>T18-V18</f>
        <v>1000</v>
      </c>
      <c r="X18" s="98">
        <f>W18*E18/12*5</f>
        <v>41.666666666666671</v>
      </c>
      <c r="Y18" s="152">
        <f>X18*5</f>
        <v>208.33333333333337</v>
      </c>
      <c r="Z18" s="341">
        <f>W18-Y18</f>
        <v>791.66666666666663</v>
      </c>
      <c r="AA18" s="100">
        <v>115.958</v>
      </c>
      <c r="AB18" s="100">
        <v>115.95399999999999</v>
      </c>
      <c r="AC18" s="100">
        <f>AA18/AB18</f>
        <v>1.0000344964382428</v>
      </c>
      <c r="AD18" s="98">
        <f>Z18*M18/100/K18*100/7</f>
        <v>6.8840579710144922</v>
      </c>
      <c r="AE18" s="98">
        <f>AD18*AC18</f>
        <v>6.8842954464951491</v>
      </c>
      <c r="AF18" s="98"/>
      <c r="AG18" s="98"/>
      <c r="AH18" s="98"/>
      <c r="AI18" s="98"/>
      <c r="AJ18" s="98"/>
      <c r="AK18" s="98">
        <f>AE18</f>
        <v>6.8842954464951491</v>
      </c>
      <c r="AL18" s="98">
        <v>6.8842954464951491</v>
      </c>
      <c r="AM18" s="98">
        <v>6.8842954464951491</v>
      </c>
      <c r="AN18" s="98">
        <v>6.8842954464951491</v>
      </c>
      <c r="AO18" s="98">
        <v>6.8842954464951491</v>
      </c>
      <c r="AP18" s="98">
        <v>6.8842954464951491</v>
      </c>
      <c r="AQ18" s="98">
        <v>6.8842954464951491</v>
      </c>
      <c r="AR18" s="98">
        <f>SUM(AF18:AQ18)</f>
        <v>48.190068125466048</v>
      </c>
      <c r="AS18" s="116">
        <f>Z18-AR18</f>
        <v>743.47659854120059</v>
      </c>
    </row>
    <row r="19" spans="1:45" s="22" customFormat="1" x14ac:dyDescent="0.2">
      <c r="A19" s="172" t="s">
        <v>68</v>
      </c>
      <c r="B19" s="172"/>
      <c r="C19" s="178"/>
      <c r="D19" s="157"/>
      <c r="E19" s="157"/>
      <c r="F19" s="29"/>
      <c r="G19" s="179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179"/>
      <c r="S19" s="171"/>
      <c r="T19" s="11"/>
      <c r="U19" s="116"/>
      <c r="V19" s="222"/>
      <c r="W19" s="222"/>
      <c r="X19" s="98"/>
      <c r="Y19" s="152"/>
      <c r="Z19" s="341"/>
      <c r="AA19" s="100"/>
      <c r="AB19" s="127"/>
      <c r="AC19" s="100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116"/>
    </row>
    <row r="20" spans="1:45" s="22" customFormat="1" x14ac:dyDescent="0.2">
      <c r="A20" s="172" t="s">
        <v>102</v>
      </c>
      <c r="B20" s="13"/>
      <c r="C20" s="87"/>
      <c r="D20" s="101"/>
      <c r="E20" s="184"/>
      <c r="F20" s="29"/>
      <c r="G20" s="334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179"/>
      <c r="S20" s="182"/>
      <c r="T20" s="183"/>
      <c r="U20" s="116"/>
      <c r="V20" s="222"/>
      <c r="W20" s="222"/>
      <c r="X20" s="98"/>
      <c r="Y20" s="152"/>
      <c r="Z20" s="341"/>
      <c r="AA20" s="100"/>
      <c r="AB20" s="125"/>
      <c r="AC20" s="100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116"/>
    </row>
    <row r="21" spans="1:45" s="22" customFormat="1" x14ac:dyDescent="0.2">
      <c r="A21" s="171" t="s">
        <v>518</v>
      </c>
      <c r="B21" s="145" t="s">
        <v>798</v>
      </c>
      <c r="C21" s="87" t="s">
        <v>586</v>
      </c>
      <c r="D21" s="101">
        <v>10</v>
      </c>
      <c r="E21" s="48">
        <v>0.1</v>
      </c>
      <c r="F21" s="88">
        <v>42185</v>
      </c>
      <c r="G21" s="179">
        <v>120</v>
      </c>
      <c r="H21" s="201">
        <f>100/G21</f>
        <v>0.83333333333333337</v>
      </c>
      <c r="I21" s="233">
        <f t="shared" ref="I21" si="4">H21*J21</f>
        <v>1.6666666666666667</v>
      </c>
      <c r="J21" s="90">
        <f>(YEAR(F21)-YEAR(S21))*12+MONTH(F21)-MONTH(S21)</f>
        <v>2</v>
      </c>
      <c r="K21" s="233">
        <f>L21*H21</f>
        <v>98.333333333333343</v>
      </c>
      <c r="L21" s="90">
        <f>G21-J21</f>
        <v>118</v>
      </c>
      <c r="M21" s="233">
        <f>N21*H21</f>
        <v>5.8333333333333339</v>
      </c>
      <c r="N21" s="90">
        <v>7</v>
      </c>
      <c r="O21" s="233">
        <f t="shared" ref="O21:Q21" si="5">K21-M21</f>
        <v>92.500000000000014</v>
      </c>
      <c r="P21" s="90">
        <f t="shared" si="5"/>
        <v>111</v>
      </c>
      <c r="Q21" s="90">
        <f t="shared" si="5"/>
        <v>-86.666666666666686</v>
      </c>
      <c r="R21" s="179" t="s">
        <v>588</v>
      </c>
      <c r="S21" s="52">
        <v>42114</v>
      </c>
      <c r="T21" s="9">
        <v>1088.99</v>
      </c>
      <c r="U21" s="116"/>
      <c r="V21" s="222">
        <v>0</v>
      </c>
      <c r="W21" s="222">
        <f>T21-V21</f>
        <v>1088.99</v>
      </c>
      <c r="X21" s="98">
        <f>W21*E21/12*5</f>
        <v>45.374583333333334</v>
      </c>
      <c r="Y21" s="152">
        <f>X21*5</f>
        <v>226.87291666666667</v>
      </c>
      <c r="Z21" s="341">
        <f>W21-Y21</f>
        <v>862.11708333333331</v>
      </c>
      <c r="AA21" s="100">
        <v>115.958</v>
      </c>
      <c r="AB21" s="100">
        <v>116.345</v>
      </c>
      <c r="AC21" s="100">
        <f>AA21/AB21</f>
        <v>0.99667368602002659</v>
      </c>
      <c r="AD21" s="98">
        <f>Z21*M21/100/K21*100/7</f>
        <v>7.3060769774011289</v>
      </c>
      <c r="AE21" s="98">
        <f>AD21*AC21</f>
        <v>7.2817746714124381</v>
      </c>
      <c r="AF21" s="98"/>
      <c r="AG21" s="98"/>
      <c r="AH21" s="98"/>
      <c r="AI21" s="98"/>
      <c r="AJ21" s="98"/>
      <c r="AK21" s="98">
        <f>AE21</f>
        <v>7.2817746714124381</v>
      </c>
      <c r="AL21" s="98">
        <v>7.2817746714124381</v>
      </c>
      <c r="AM21" s="98">
        <v>7.2817746714124381</v>
      </c>
      <c r="AN21" s="98">
        <v>7.2817746714124381</v>
      </c>
      <c r="AO21" s="98">
        <v>7.2817746714124381</v>
      </c>
      <c r="AP21" s="98">
        <v>7.2817746714124381</v>
      </c>
      <c r="AQ21" s="98">
        <v>7.2817746714124381</v>
      </c>
      <c r="AR21" s="98">
        <f>SUM(AF21:AQ21)</f>
        <v>50.972422699887062</v>
      </c>
      <c r="AS21" s="116">
        <f>Z21-AR21</f>
        <v>811.14466063344628</v>
      </c>
    </row>
    <row r="22" spans="1:45" s="22" customFormat="1" x14ac:dyDescent="0.2">
      <c r="A22" s="172" t="s">
        <v>68</v>
      </c>
      <c r="B22" s="172"/>
      <c r="C22" s="178"/>
      <c r="D22" s="157"/>
      <c r="E22" s="157"/>
      <c r="F22" s="88"/>
      <c r="G22" s="179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179"/>
      <c r="S22" s="171"/>
      <c r="T22" s="11"/>
      <c r="U22" s="116"/>
      <c r="V22" s="222"/>
      <c r="W22" s="222"/>
      <c r="X22" s="98"/>
      <c r="Y22" s="152"/>
      <c r="Z22" s="341"/>
      <c r="AA22" s="100"/>
      <c r="AB22" s="127"/>
      <c r="AC22" s="100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116"/>
    </row>
    <row r="23" spans="1:45" s="22" customFormat="1" x14ac:dyDescent="0.2">
      <c r="A23" s="172" t="s">
        <v>799</v>
      </c>
      <c r="B23" s="13"/>
      <c r="C23" s="87"/>
      <c r="D23" s="101"/>
      <c r="E23" s="184"/>
      <c r="F23" s="29"/>
      <c r="G23" s="179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179"/>
      <c r="S23" s="182"/>
      <c r="T23" s="183"/>
      <c r="U23" s="116"/>
      <c r="V23" s="222"/>
      <c r="W23" s="222"/>
      <c r="X23" s="98"/>
      <c r="Y23" s="152"/>
      <c r="Z23" s="341"/>
      <c r="AA23" s="100"/>
      <c r="AB23" s="125"/>
      <c r="AC23" s="100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116"/>
    </row>
    <row r="24" spans="1:45" s="22" customFormat="1" x14ac:dyDescent="0.2">
      <c r="A24" s="171" t="s">
        <v>800</v>
      </c>
      <c r="B24" s="145" t="s">
        <v>801</v>
      </c>
      <c r="C24" s="87" t="s">
        <v>586</v>
      </c>
      <c r="D24" s="101">
        <v>3</v>
      </c>
      <c r="E24" s="48">
        <v>0.33329999999999999</v>
      </c>
      <c r="F24" s="88">
        <v>42185</v>
      </c>
      <c r="G24" s="179">
        <v>36</v>
      </c>
      <c r="H24" s="201">
        <f>100/G24</f>
        <v>2.7777777777777777</v>
      </c>
      <c r="I24" s="233">
        <f t="shared" ref="I24" si="6">H24*J24</f>
        <v>80.555555555555557</v>
      </c>
      <c r="J24" s="90">
        <f>(YEAR(F24)-YEAR(S24))*12+MONTH(F24)-MONTH(S24)</f>
        <v>29</v>
      </c>
      <c r="K24" s="233">
        <f>L24*H24</f>
        <v>19.444444444444443</v>
      </c>
      <c r="L24" s="90">
        <f>G24-J24</f>
        <v>7</v>
      </c>
      <c r="M24" s="233">
        <f>N24*H24</f>
        <v>19.444444444444443</v>
      </c>
      <c r="N24" s="90">
        <v>7</v>
      </c>
      <c r="O24" s="233">
        <f t="shared" ref="O24:Q24" si="7">K24-M24</f>
        <v>0</v>
      </c>
      <c r="P24" s="90">
        <f t="shared" si="7"/>
        <v>0</v>
      </c>
      <c r="Q24" s="90">
        <f t="shared" si="7"/>
        <v>19.444444444444443</v>
      </c>
      <c r="R24" s="179" t="s">
        <v>802</v>
      </c>
      <c r="S24" s="52">
        <v>41277</v>
      </c>
      <c r="T24" s="9">
        <v>110</v>
      </c>
      <c r="U24" s="116"/>
      <c r="V24" s="222">
        <f>T24*I24%</f>
        <v>88.611111111111114</v>
      </c>
      <c r="W24" s="222">
        <f>T24-V24</f>
        <v>21.388888888888886</v>
      </c>
      <c r="X24" s="98">
        <f>T24*H24%</f>
        <v>3.0555555555555554</v>
      </c>
      <c r="Y24" s="152">
        <f>X24*5</f>
        <v>15.277777777777777</v>
      </c>
      <c r="Z24" s="341">
        <f>W24-Y24</f>
        <v>6.1111111111111089</v>
      </c>
      <c r="AA24" s="100">
        <v>115.958</v>
      </c>
      <c r="AB24" s="100">
        <v>107.678</v>
      </c>
      <c r="AC24" s="100">
        <f>AA24/AB24</f>
        <v>1.0768959304593324</v>
      </c>
      <c r="AD24" s="98">
        <f>Z24*M24/100/K24*100/7</f>
        <v>0.87301587301587269</v>
      </c>
      <c r="AE24" s="98">
        <f>AD24*AC24</f>
        <v>0.94014724087719459</v>
      </c>
      <c r="AF24" s="98"/>
      <c r="AG24" s="98"/>
      <c r="AH24" s="98"/>
      <c r="AI24" s="98"/>
      <c r="AJ24" s="98"/>
      <c r="AK24" s="98">
        <f>AE24</f>
        <v>0.94014724087719459</v>
      </c>
      <c r="AL24" s="98">
        <v>0.94014724087719459</v>
      </c>
      <c r="AM24" s="98">
        <v>0.94014724087719459</v>
      </c>
      <c r="AN24" s="98">
        <v>0.94014724087719459</v>
      </c>
      <c r="AO24" s="98">
        <v>0.94014724087719459</v>
      </c>
      <c r="AP24" s="98">
        <v>0.41</v>
      </c>
      <c r="AQ24" s="98">
        <v>0</v>
      </c>
      <c r="AR24" s="98">
        <f>SUM(AF24:AQ24)</f>
        <v>5.1107362043859732</v>
      </c>
      <c r="AS24" s="116">
        <f>Z24-AR24</f>
        <v>1.0003749067251357</v>
      </c>
    </row>
    <row r="25" spans="1:45" x14ac:dyDescent="0.2">
      <c r="R25" s="243"/>
      <c r="V25" s="336">
        <f>SUM(V15:V24)</f>
        <v>794.44444444444446</v>
      </c>
      <c r="W25" s="336">
        <f>SUM(W15:W24)</f>
        <v>2504.5455555555554</v>
      </c>
      <c r="Y25" s="149"/>
      <c r="Z25" s="351">
        <f>SUM(Z15:Z24)</f>
        <v>2008.2281944444444</v>
      </c>
      <c r="AA25" s="22"/>
      <c r="AB25" s="513"/>
      <c r="AC25" s="22"/>
      <c r="AD25" s="509"/>
      <c r="AE25" s="509"/>
      <c r="AF25" s="509" t="e">
        <f>SUM(#REF!)</f>
        <v>#REF!</v>
      </c>
      <c r="AG25" s="509" t="e">
        <f>SUM(#REF!)</f>
        <v>#REF!</v>
      </c>
      <c r="AH25" s="509" t="e">
        <f>SUM(#REF!)</f>
        <v>#REF!</v>
      </c>
      <c r="AI25" s="509" t="e">
        <f>SUM(#REF!)</f>
        <v>#REF!</v>
      </c>
      <c r="AJ25" s="509" t="e">
        <f>SUM(#REF!)</f>
        <v>#REF!</v>
      </c>
      <c r="AK25" s="509">
        <f t="shared" ref="AK25:AR25" si="8">SUM(AK15:AK24)</f>
        <v>22.112577346570962</v>
      </c>
      <c r="AL25" s="509"/>
      <c r="AM25" s="509"/>
      <c r="AN25" s="509"/>
      <c r="AO25" s="509"/>
      <c r="AP25" s="509">
        <f t="shared" si="8"/>
        <v>21.582430105693767</v>
      </c>
      <c r="AQ25" s="523">
        <f t="shared" si="8"/>
        <v>21.172430105693767</v>
      </c>
      <c r="AR25" s="509">
        <f t="shared" si="8"/>
        <v>153.31774694424232</v>
      </c>
      <c r="AS25" s="263">
        <f>SUM(AS15:AS24)</f>
        <v>1854.9104475002018</v>
      </c>
    </row>
    <row r="26" spans="1:45" s="150" customFormat="1" x14ac:dyDescent="0.2">
      <c r="A26" s="156" t="s">
        <v>460</v>
      </c>
      <c r="B26" s="132"/>
      <c r="C26" s="132"/>
      <c r="D26" s="133"/>
      <c r="E26" s="133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4"/>
      <c r="S26" s="134"/>
      <c r="T26" s="135"/>
      <c r="U26" s="135"/>
      <c r="V26" s="135"/>
      <c r="W26" s="135"/>
      <c r="X26" s="135"/>
      <c r="Y26" s="149"/>
      <c r="Z26" s="22"/>
      <c r="AA26" s="22"/>
      <c r="AB26" s="513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113"/>
    </row>
    <row r="27" spans="1:45" s="150" customFormat="1" x14ac:dyDescent="0.2">
      <c r="A27" s="310" t="s">
        <v>719</v>
      </c>
      <c r="B27" s="311"/>
      <c r="C27" s="311"/>
      <c r="D27" s="312"/>
      <c r="E27" s="312"/>
      <c r="F27"/>
      <c r="G27"/>
      <c r="H27"/>
      <c r="I27"/>
      <c r="J27"/>
      <c r="K27"/>
      <c r="L27"/>
      <c r="M27"/>
      <c r="N27"/>
      <c r="O27"/>
      <c r="P27"/>
      <c r="Q27"/>
      <c r="R27" s="28"/>
      <c r="S27" s="28"/>
      <c r="T27" s="16"/>
      <c r="U27" s="16"/>
      <c r="V27" s="16"/>
      <c r="W27" s="16"/>
      <c r="X27" s="16"/>
      <c r="Y27" s="149"/>
      <c r="Z27" s="22"/>
      <c r="AA27" s="22"/>
      <c r="AB27" s="149"/>
      <c r="AC27" s="524"/>
      <c r="AD27" s="22"/>
      <c r="AE27" s="56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510"/>
      <c r="AS27" s="113"/>
    </row>
    <row r="28" spans="1:45" ht="30.75" hidden="1" customHeight="1" x14ac:dyDescent="0.2">
      <c r="A28" s="568" t="s">
        <v>613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239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8"/>
      <c r="AR28" s="238"/>
      <c r="AS28" s="238"/>
    </row>
    <row r="29" spans="1:45" hidden="1" x14ac:dyDescent="0.2">
      <c r="A29" s="568"/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68"/>
    </row>
  </sheetData>
  <mergeCells count="26"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28:AA29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23"/>
  <sheetViews>
    <sheetView topLeftCell="H1" zoomScale="130" zoomScaleNormal="130" workbookViewId="0">
      <selection activeCell="H19" sqref="H1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4" width="8.42578125" style="16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9" width="7.7109375" hidden="1" customWidth="1"/>
    <col min="40" max="40" width="8.28515625" hidden="1" customWidth="1"/>
    <col min="41" max="42" width="7.7109375" hidden="1" customWidth="1"/>
    <col min="43" max="43" width="7.7109375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 t="s">
        <v>454</v>
      </c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809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52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54" t="s">
        <v>680</v>
      </c>
      <c r="O11" s="556" t="s">
        <v>643</v>
      </c>
      <c r="P11" s="359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56"/>
      <c r="V11" s="558" t="s">
        <v>746</v>
      </c>
      <c r="W11" s="558" t="s">
        <v>747</v>
      </c>
      <c r="X11" s="35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810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57"/>
      <c r="V12" s="569"/>
      <c r="W12" s="569"/>
      <c r="X12" s="358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805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804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171" t="s">
        <v>806</v>
      </c>
      <c r="B15" s="145" t="s">
        <v>803</v>
      </c>
      <c r="C15" s="87" t="s">
        <v>810</v>
      </c>
      <c r="D15" s="101">
        <v>10</v>
      </c>
      <c r="E15" s="48">
        <v>0.1</v>
      </c>
      <c r="F15" s="88">
        <v>42185</v>
      </c>
      <c r="G15" s="179">
        <v>120</v>
      </c>
      <c r="H15" s="201">
        <f>100/G15</f>
        <v>0.83333333333333337</v>
      </c>
      <c r="I15" s="233">
        <f t="shared" ref="I15" si="0">H15*J15</f>
        <v>14.166666666666668</v>
      </c>
      <c r="J15" s="90">
        <f>(YEAR(F15)-YEAR(S15))*12+MONTH(F15)-MONTH(S15)</f>
        <v>17</v>
      </c>
      <c r="K15" s="233">
        <f>L15*H15</f>
        <v>85.833333333333343</v>
      </c>
      <c r="L15" s="90">
        <f>G15-J15</f>
        <v>103</v>
      </c>
      <c r="M15" s="233">
        <f>N15*H15</f>
        <v>5.8333333333333339</v>
      </c>
      <c r="N15" s="90">
        <v>7</v>
      </c>
      <c r="O15" s="233">
        <f t="shared" ref="O15:Q15" si="1">K15-M15</f>
        <v>80.000000000000014</v>
      </c>
      <c r="P15" s="90">
        <f t="shared" si="1"/>
        <v>96</v>
      </c>
      <c r="Q15" s="90">
        <f t="shared" si="1"/>
        <v>-74.166666666666686</v>
      </c>
      <c r="R15" s="179" t="s">
        <v>595</v>
      </c>
      <c r="S15" s="52">
        <v>41640</v>
      </c>
      <c r="T15" s="9">
        <v>599</v>
      </c>
      <c r="U15" s="116"/>
      <c r="V15" s="222">
        <f>T15*I15%</f>
        <v>84.858333333333348</v>
      </c>
      <c r="W15" s="222">
        <f>T15-V15</f>
        <v>514.14166666666665</v>
      </c>
      <c r="X15" s="98">
        <f>T15*H15%</f>
        <v>4.9916666666666663</v>
      </c>
      <c r="Y15" s="152">
        <f>X15*5</f>
        <v>24.958333333333332</v>
      </c>
      <c r="Z15" s="341">
        <f>W15-Y15</f>
        <v>489.18333333333334</v>
      </c>
      <c r="AA15" s="100">
        <v>115.958</v>
      </c>
      <c r="AB15" s="100">
        <v>112.505</v>
      </c>
      <c r="AC15" s="100">
        <f>AA15/AB15</f>
        <v>1.0306919692458114</v>
      </c>
      <c r="AD15" s="98">
        <f>Z15*M15/100/K15*100/7</f>
        <v>4.7493527508090612</v>
      </c>
      <c r="AE15" s="98">
        <f>AD15*AC15</f>
        <v>4.8951197393744028</v>
      </c>
      <c r="AF15" s="98"/>
      <c r="AG15" s="98"/>
      <c r="AH15" s="98"/>
      <c r="AI15" s="98"/>
      <c r="AJ15" s="98"/>
      <c r="AK15" s="98">
        <f>AE15</f>
        <v>4.8951197393744028</v>
      </c>
      <c r="AL15" s="98">
        <v>4.8951197393744028</v>
      </c>
      <c r="AM15" s="98">
        <v>4.8951197393744028</v>
      </c>
      <c r="AN15" s="98">
        <v>4.8951197393744028</v>
      </c>
      <c r="AO15" s="98">
        <v>4.8951197393744028</v>
      </c>
      <c r="AP15" s="98">
        <v>4.8951197393744028</v>
      </c>
      <c r="AQ15" s="98">
        <v>4.8951197393744028</v>
      </c>
      <c r="AR15" s="98">
        <f>SUM(AF15:AQ15)</f>
        <v>34.265838175620814</v>
      </c>
      <c r="AS15" s="116">
        <f>Z15-AR15</f>
        <v>454.91749515771255</v>
      </c>
    </row>
    <row r="16" spans="1:45" s="22" customFormat="1" x14ac:dyDescent="0.2">
      <c r="A16" s="172" t="s">
        <v>68</v>
      </c>
      <c r="B16" s="172"/>
      <c r="C16" s="178"/>
      <c r="D16" s="157"/>
      <c r="E16" s="157"/>
      <c r="F16" s="29"/>
      <c r="G16" s="179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9"/>
      <c r="S16" s="171"/>
      <c r="T16" s="11"/>
      <c r="U16" s="116"/>
      <c r="V16" s="222"/>
      <c r="W16" s="222"/>
      <c r="X16" s="98"/>
      <c r="Y16" s="152"/>
      <c r="Z16" s="341"/>
      <c r="AA16" s="100"/>
      <c r="AB16" s="127"/>
      <c r="AC16" s="100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116"/>
    </row>
    <row r="17" spans="1:45" s="22" customFormat="1" x14ac:dyDescent="0.2">
      <c r="A17" s="172" t="s">
        <v>102</v>
      </c>
      <c r="B17" s="13"/>
      <c r="C17" s="87"/>
      <c r="D17" s="101"/>
      <c r="E17" s="184"/>
      <c r="F17" s="29"/>
      <c r="G17" s="334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9"/>
      <c r="S17" s="182"/>
      <c r="T17" s="183"/>
      <c r="U17" s="116"/>
      <c r="V17" s="222"/>
      <c r="W17" s="222"/>
      <c r="X17" s="98"/>
      <c r="Y17" s="152"/>
      <c r="Z17" s="341"/>
      <c r="AA17" s="100"/>
      <c r="AB17" s="125"/>
      <c r="AC17" s="100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116"/>
    </row>
    <row r="18" spans="1:45" s="22" customFormat="1" x14ac:dyDescent="0.2">
      <c r="A18" s="171" t="s">
        <v>807</v>
      </c>
      <c r="B18" s="145" t="s">
        <v>808</v>
      </c>
      <c r="C18" s="87" t="s">
        <v>810</v>
      </c>
      <c r="D18" s="101">
        <v>10</v>
      </c>
      <c r="E18" s="48">
        <v>0.1</v>
      </c>
      <c r="F18" s="88">
        <v>42185</v>
      </c>
      <c r="G18" s="179">
        <v>120</v>
      </c>
      <c r="H18" s="201">
        <f>100/G18</f>
        <v>0.83333333333333337</v>
      </c>
      <c r="I18" s="233">
        <f t="shared" ref="I18" si="2">H18*J18</f>
        <v>24.166666666666668</v>
      </c>
      <c r="J18" s="90">
        <f>(YEAR(F18)-YEAR(S18))*12+MONTH(F18)-MONTH(S18)</f>
        <v>29</v>
      </c>
      <c r="K18" s="233">
        <f>L18*H18</f>
        <v>75.833333333333343</v>
      </c>
      <c r="L18" s="90">
        <f>G18-J18</f>
        <v>91</v>
      </c>
      <c r="M18" s="233">
        <f>N18*H18</f>
        <v>5.8333333333333339</v>
      </c>
      <c r="N18" s="90">
        <v>7</v>
      </c>
      <c r="O18" s="233">
        <f t="shared" ref="O18:Q18" si="3">K18-M18</f>
        <v>70.000000000000014</v>
      </c>
      <c r="P18" s="90">
        <f t="shared" si="3"/>
        <v>84</v>
      </c>
      <c r="Q18" s="90">
        <f t="shared" si="3"/>
        <v>-64.166666666666686</v>
      </c>
      <c r="R18" s="179" t="s">
        <v>595</v>
      </c>
      <c r="S18" s="52">
        <v>41275</v>
      </c>
      <c r="T18" s="9">
        <v>1088.99</v>
      </c>
      <c r="U18" s="116"/>
      <c r="V18" s="222">
        <f>T18*I18%</f>
        <v>263.17258333333336</v>
      </c>
      <c r="W18" s="222">
        <f>T18-V18</f>
        <v>825.81741666666665</v>
      </c>
      <c r="X18" s="98">
        <f>T18*H18%</f>
        <v>9.0749166666666667</v>
      </c>
      <c r="Y18" s="152">
        <f>X18*5</f>
        <v>45.374583333333334</v>
      </c>
      <c r="Z18" s="341">
        <f>W18-Y18</f>
        <v>780.44283333333328</v>
      </c>
      <c r="AA18" s="100">
        <v>115.958</v>
      </c>
      <c r="AB18" s="100">
        <v>107.678</v>
      </c>
      <c r="AC18" s="100">
        <f>AA18/AB18</f>
        <v>1.0768959304593324</v>
      </c>
      <c r="AD18" s="98">
        <f>Z18*M18/100/K18*100/7</f>
        <v>8.5762948717948699</v>
      </c>
      <c r="AE18" s="98">
        <f>AD18*AC18</f>
        <v>9.2357770458551371</v>
      </c>
      <c r="AF18" s="98"/>
      <c r="AG18" s="98"/>
      <c r="AH18" s="98"/>
      <c r="AI18" s="98"/>
      <c r="AJ18" s="98"/>
      <c r="AK18" s="98">
        <f>AE18</f>
        <v>9.2357770458551371</v>
      </c>
      <c r="AL18" s="98">
        <v>9.2357770458551371</v>
      </c>
      <c r="AM18" s="98">
        <v>9.2357770458551371</v>
      </c>
      <c r="AN18" s="98">
        <v>9.2357770458551371</v>
      </c>
      <c r="AO18" s="98">
        <v>9.2357770458551371</v>
      </c>
      <c r="AP18" s="98">
        <v>9.2357770458551371</v>
      </c>
      <c r="AQ18" s="98">
        <v>9.2357770458551371</v>
      </c>
      <c r="AR18" s="98">
        <f>SUM(AF18:AQ18)</f>
        <v>64.650439320985953</v>
      </c>
      <c r="AS18" s="116">
        <f>Z18-AR18</f>
        <v>715.79239401234736</v>
      </c>
    </row>
    <row r="19" spans="1:45" x14ac:dyDescent="0.2">
      <c r="R19" s="243"/>
      <c r="V19" s="336">
        <f>SUM(V15:V18)</f>
        <v>348.03091666666671</v>
      </c>
      <c r="W19" s="336">
        <f>SUM(W15:W18)</f>
        <v>1339.9590833333332</v>
      </c>
      <c r="Y19" s="309"/>
      <c r="Z19" s="351">
        <f>SUM(Z15:Z18)</f>
        <v>1269.6261666666667</v>
      </c>
      <c r="AD19" s="263"/>
      <c r="AE19" s="263"/>
      <c r="AF19" s="263" t="e">
        <f>SUM(#REF!)</f>
        <v>#REF!</v>
      </c>
      <c r="AG19" s="263" t="e">
        <f>SUM(#REF!)</f>
        <v>#REF!</v>
      </c>
      <c r="AH19" s="263" t="e">
        <f>SUM(#REF!)</f>
        <v>#REF!</v>
      </c>
      <c r="AI19" s="263" t="e">
        <f>SUM(#REF!)</f>
        <v>#REF!</v>
      </c>
      <c r="AJ19" s="263" t="e">
        <f>SUM(#REF!)</f>
        <v>#REF!</v>
      </c>
      <c r="AK19" s="263">
        <f t="shared" ref="AK19:AR19" si="4">SUM(AK15:AK18)</f>
        <v>14.13089678522954</v>
      </c>
      <c r="AL19" s="263"/>
      <c r="AM19" s="263"/>
      <c r="AN19" s="263"/>
      <c r="AO19" s="263"/>
      <c r="AP19" s="263">
        <f t="shared" si="4"/>
        <v>14.13089678522954</v>
      </c>
      <c r="AQ19" s="374">
        <f t="shared" si="4"/>
        <v>14.13089678522954</v>
      </c>
      <c r="AR19" s="361">
        <f t="shared" si="4"/>
        <v>98.916277496606767</v>
      </c>
      <c r="AS19" s="263">
        <f>SUM(AS15:AS18)</f>
        <v>1170.7098891700598</v>
      </c>
    </row>
    <row r="20" spans="1:45" s="150" customFormat="1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V20" s="135"/>
      <c r="W20" s="135"/>
      <c r="X20" s="135"/>
      <c r="Z20"/>
      <c r="AA20"/>
      <c r="AB20" s="121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 s="113"/>
    </row>
    <row r="21" spans="1:45" s="150" customFormat="1" x14ac:dyDescent="0.2">
      <c r="A21" s="310" t="s">
        <v>719</v>
      </c>
      <c r="B21" s="311"/>
      <c r="C21" s="311"/>
      <c r="D21" s="312"/>
      <c r="E21" s="312"/>
      <c r="F21"/>
      <c r="G21"/>
      <c r="H21"/>
      <c r="I21"/>
      <c r="J21"/>
      <c r="K21"/>
      <c r="L21"/>
      <c r="M21"/>
      <c r="N21"/>
      <c r="O21"/>
      <c r="P21"/>
      <c r="Q21"/>
      <c r="R21" s="28"/>
      <c r="S21" s="28"/>
      <c r="T21" s="16"/>
      <c r="U21" s="16"/>
      <c r="V21" s="16"/>
      <c r="W21" s="16"/>
      <c r="X21" s="16"/>
      <c r="Z21"/>
      <c r="AA21"/>
      <c r="AB21" s="130"/>
      <c r="AC21"/>
      <c r="AD21"/>
      <c r="AE21" s="16"/>
      <c r="AF21"/>
      <c r="AG21"/>
      <c r="AH21"/>
      <c r="AI21"/>
      <c r="AJ21"/>
      <c r="AK21"/>
      <c r="AL21"/>
      <c r="AM21"/>
      <c r="AN21"/>
      <c r="AO21"/>
      <c r="AP21"/>
      <c r="AQ21"/>
      <c r="AR21" s="360"/>
      <c r="AS21" s="113"/>
    </row>
    <row r="22" spans="1:45" ht="30.75" hidden="1" customHeight="1" x14ac:dyDescent="0.2">
      <c r="A22" s="568" t="s">
        <v>613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239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</row>
    <row r="23" spans="1:45" hidden="1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</row>
  </sheetData>
  <mergeCells count="26"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22:AA23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24"/>
  <sheetViews>
    <sheetView topLeftCell="D1" zoomScale="110" zoomScaleNormal="110" workbookViewId="0">
      <selection activeCell="AP16" sqref="AP16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9.140625" hidden="1" customWidth="1"/>
    <col min="38" max="39" width="7.7109375" hidden="1" customWidth="1"/>
    <col min="40" max="40" width="10" customWidth="1"/>
    <col min="41" max="41" width="9.28515625" customWidth="1"/>
    <col min="42" max="42" width="10" style="113" customWidth="1"/>
  </cols>
  <sheetData>
    <row r="1" spans="1:42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2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2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2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2" x14ac:dyDescent="0.2">
      <c r="A5" s="137"/>
      <c r="B5" s="144" t="s">
        <v>811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2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2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2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2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2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ht="54" customHeight="1" x14ac:dyDescent="0.25">
      <c r="A11" s="552" t="s">
        <v>60</v>
      </c>
      <c r="B11" s="552" t="s">
        <v>0</v>
      </c>
      <c r="C11" s="38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86" t="s">
        <v>680</v>
      </c>
      <c r="O11" s="556" t="s">
        <v>643</v>
      </c>
      <c r="P11" s="387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2" ht="32.25" customHeight="1" x14ac:dyDescent="0.25">
      <c r="A12" s="553"/>
      <c r="B12" s="553"/>
      <c r="C12" s="229" t="s">
        <v>811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2" s="22" customFormat="1" x14ac:dyDescent="0.2">
      <c r="A13" s="172" t="s">
        <v>68</v>
      </c>
      <c r="B13" s="172" t="s">
        <v>490</v>
      </c>
      <c r="C13" s="172"/>
      <c r="D13" s="185"/>
      <c r="E13" s="184"/>
      <c r="F13" s="24"/>
      <c r="G13" s="24"/>
      <c r="H13" s="256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171"/>
      <c r="T13" s="188"/>
      <c r="U13" s="18"/>
      <c r="V13" s="152"/>
      <c r="W13" s="110"/>
      <c r="X13" s="110"/>
      <c r="Y13" s="128"/>
      <c r="Z13" s="110"/>
      <c r="AA13" s="109"/>
      <c r="AB13" s="109"/>
      <c r="AC13" s="109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</row>
    <row r="14" spans="1:42" s="22" customFormat="1" x14ac:dyDescent="0.2">
      <c r="A14" s="172" t="s">
        <v>824</v>
      </c>
      <c r="B14" s="145"/>
      <c r="C14" s="145"/>
      <c r="D14" s="12"/>
      <c r="E14" s="184"/>
      <c r="F14" s="88"/>
      <c r="G14" s="90"/>
      <c r="H14" s="201"/>
      <c r="I14" s="90"/>
      <c r="J14" s="90"/>
      <c r="K14" s="90"/>
      <c r="L14" s="90"/>
      <c r="M14" s="90"/>
      <c r="N14" s="90"/>
      <c r="O14" s="90"/>
      <c r="P14" s="90"/>
      <c r="Q14" s="90"/>
      <c r="R14" s="88"/>
      <c r="S14" s="171"/>
      <c r="T14" s="188"/>
      <c r="U14" s="89"/>
      <c r="V14" s="152"/>
      <c r="W14" s="233">
        <v>0</v>
      </c>
      <c r="X14" s="100"/>
      <c r="Y14" s="128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</row>
    <row r="15" spans="1:42" s="449" customFormat="1" x14ac:dyDescent="0.2">
      <c r="A15" s="434" t="s">
        <v>812</v>
      </c>
      <c r="B15" s="434" t="s">
        <v>841</v>
      </c>
      <c r="C15" s="434" t="s">
        <v>811</v>
      </c>
      <c r="D15" s="435">
        <v>3</v>
      </c>
      <c r="E15" s="436">
        <v>0.33329999999999999</v>
      </c>
      <c r="F15" s="437">
        <v>42185</v>
      </c>
      <c r="G15" s="438">
        <v>36</v>
      </c>
      <c r="H15" s="439">
        <f t="shared" ref="H15" si="0">100/G15</f>
        <v>2.7777777777777777</v>
      </c>
      <c r="I15" s="440">
        <f t="shared" ref="I15" si="1">H15*J15</f>
        <v>0</v>
      </c>
      <c r="J15" s="438">
        <v>0</v>
      </c>
      <c r="K15" s="440">
        <f>L15*H15</f>
        <v>100</v>
      </c>
      <c r="L15" s="438">
        <f>G15-J15</f>
        <v>36</v>
      </c>
      <c r="M15" s="440">
        <f>N15*H15</f>
        <v>2.7777777777777777</v>
      </c>
      <c r="N15" s="438">
        <v>1</v>
      </c>
      <c r="O15" s="440">
        <f t="shared" ref="O15:Q15" si="2">K15-M15</f>
        <v>97.222222222222229</v>
      </c>
      <c r="P15" s="438">
        <f t="shared" si="2"/>
        <v>35</v>
      </c>
      <c r="Q15" s="438">
        <f t="shared" si="2"/>
        <v>-94.444444444444457</v>
      </c>
      <c r="R15" s="438" t="s">
        <v>842</v>
      </c>
      <c r="S15" s="441">
        <v>42339</v>
      </c>
      <c r="T15" s="442">
        <v>4999.49</v>
      </c>
      <c r="U15" s="443">
        <v>0</v>
      </c>
      <c r="V15" s="444">
        <v>0</v>
      </c>
      <c r="W15" s="440">
        <v>0</v>
      </c>
      <c r="X15" s="445">
        <v>115.958</v>
      </c>
      <c r="Y15" s="446">
        <v>112.79</v>
      </c>
      <c r="Z15" s="445">
        <f>X15/Y15</f>
        <v>1.0280875964181222</v>
      </c>
      <c r="AA15" s="447">
        <f>T15*M15/100/K15*100/7</f>
        <v>19.839246031746029</v>
      </c>
      <c r="AB15" s="447">
        <f>AA15*Z15</f>
        <v>20.396482767525544</v>
      </c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>
        <v>27.42</v>
      </c>
      <c r="AO15" s="447">
        <f>SUM(AC15:AN15)</f>
        <v>27.42</v>
      </c>
      <c r="AP15" s="448">
        <f>T15-AO15</f>
        <v>4972.07</v>
      </c>
    </row>
    <row r="16" spans="1:42" s="22" customFormat="1" x14ac:dyDescent="0.2">
      <c r="A16" s="172" t="s">
        <v>690</v>
      </c>
      <c r="B16" s="172"/>
      <c r="C16" s="87"/>
      <c r="D16" s="42"/>
      <c r="E16" s="38"/>
      <c r="F16" s="88"/>
      <c r="G16" s="24"/>
      <c r="H16" s="201"/>
      <c r="I16" s="233"/>
      <c r="J16" s="90"/>
      <c r="K16" s="233"/>
      <c r="L16" s="90"/>
      <c r="M16" s="233"/>
      <c r="N16" s="90"/>
      <c r="O16" s="233"/>
      <c r="P16" s="90"/>
      <c r="Q16" s="24"/>
      <c r="R16" s="24"/>
      <c r="S16" s="29"/>
      <c r="T16" s="18"/>
      <c r="U16" s="18"/>
      <c r="V16" s="154"/>
      <c r="W16" s="110"/>
      <c r="X16" s="100"/>
      <c r="Y16" s="125"/>
      <c r="Z16" s="100"/>
      <c r="AA16" s="98"/>
      <c r="AB16" s="98"/>
      <c r="AC16" s="109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116"/>
    </row>
    <row r="17" spans="1:42" s="22" customFormat="1" x14ac:dyDescent="0.2">
      <c r="A17" s="172" t="s">
        <v>87</v>
      </c>
      <c r="B17" s="145"/>
      <c r="C17" s="87"/>
      <c r="D17" s="8"/>
      <c r="E17" s="38"/>
      <c r="F17" s="88"/>
      <c r="G17" s="24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24"/>
      <c r="S17" s="29"/>
      <c r="T17" s="18"/>
      <c r="U17" s="18"/>
      <c r="V17" s="154"/>
      <c r="W17" s="110"/>
      <c r="X17" s="110"/>
      <c r="Y17" s="125"/>
      <c r="Z17" s="110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16"/>
    </row>
    <row r="18" spans="1:42" s="449" customFormat="1" x14ac:dyDescent="0.2">
      <c r="A18" s="434" t="s">
        <v>866</v>
      </c>
      <c r="B18" s="434" t="s">
        <v>865</v>
      </c>
      <c r="C18" s="450" t="s">
        <v>811</v>
      </c>
      <c r="D18" s="435">
        <v>10</v>
      </c>
      <c r="E18" s="451">
        <v>0.1</v>
      </c>
      <c r="F18" s="437">
        <v>42335</v>
      </c>
      <c r="G18" s="438">
        <v>120</v>
      </c>
      <c r="H18" s="439">
        <f>100/G18</f>
        <v>0.83333333333333337</v>
      </c>
      <c r="I18" s="440">
        <f>H18*J18</f>
        <v>0</v>
      </c>
      <c r="J18" s="438">
        <f>(YEAR(F18)-YEAR(S18))*12+MONTH(F18)-MONTH(S18)</f>
        <v>0</v>
      </c>
      <c r="K18" s="440">
        <f>L18*H18</f>
        <v>100</v>
      </c>
      <c r="L18" s="438">
        <f>G18-J18</f>
        <v>120</v>
      </c>
      <c r="M18" s="440">
        <f>N18*H18</f>
        <v>0.83333333333333337</v>
      </c>
      <c r="N18" s="438">
        <v>1</v>
      </c>
      <c r="O18" s="440">
        <f>P18*H18</f>
        <v>99.166666666666671</v>
      </c>
      <c r="P18" s="438">
        <f t="shared" ref="P18" si="3">L18-N18</f>
        <v>119</v>
      </c>
      <c r="Q18" s="438">
        <f>M18-O18</f>
        <v>-98.333333333333343</v>
      </c>
      <c r="R18" s="438">
        <v>4658</v>
      </c>
      <c r="S18" s="437">
        <v>42335</v>
      </c>
      <c r="T18" s="443">
        <v>734</v>
      </c>
      <c r="U18" s="445">
        <v>0</v>
      </c>
      <c r="V18" s="447">
        <v>0</v>
      </c>
      <c r="W18" s="447">
        <v>118.051</v>
      </c>
      <c r="X18" s="445">
        <v>115.958</v>
      </c>
      <c r="Y18" s="447">
        <v>118.051</v>
      </c>
      <c r="Z18" s="445">
        <f>X18/Y18</f>
        <v>0.98227037466857536</v>
      </c>
      <c r="AA18" s="447">
        <f>H18*T18/100</f>
        <v>6.1166666666666671</v>
      </c>
      <c r="AB18" s="447">
        <f>AA18*Z18</f>
        <v>6.0082204583894532</v>
      </c>
      <c r="AC18" s="447"/>
      <c r="AD18" s="447"/>
      <c r="AE18" s="447"/>
      <c r="AF18" s="447"/>
      <c r="AG18" s="447"/>
      <c r="AH18" s="447"/>
      <c r="AI18" s="447"/>
      <c r="AJ18" s="447"/>
      <c r="AK18" s="448"/>
      <c r="AL18" s="448"/>
      <c r="AM18" s="448"/>
      <c r="AN18" s="448">
        <f>AB18</f>
        <v>6.0082204583894532</v>
      </c>
      <c r="AO18" s="448">
        <f>AN18</f>
        <v>6.0082204583894532</v>
      </c>
      <c r="AP18" s="448">
        <f>T18-AO18</f>
        <v>727.99177954161053</v>
      </c>
    </row>
    <row r="19" spans="1:42" x14ac:dyDescent="0.2">
      <c r="R19" s="243"/>
      <c r="V19" s="336"/>
      <c r="AB19" s="263"/>
      <c r="AH19" s="263">
        <f>SUM(AH13:AH15)</f>
        <v>0</v>
      </c>
      <c r="AI19" s="263"/>
      <c r="AJ19" s="263"/>
      <c r="AK19" s="263"/>
      <c r="AL19" s="263"/>
      <c r="AM19" s="263"/>
      <c r="AN19" s="529">
        <f>SUM(AN15,AN18)</f>
        <v>33.428220458389454</v>
      </c>
      <c r="AO19" s="263">
        <f>SUM(AO15,AO18)</f>
        <v>33.428220458389454</v>
      </c>
      <c r="AP19" s="263">
        <f>SUM(AP15,AP18)</f>
        <v>5700.0617795416101</v>
      </c>
    </row>
    <row r="20" spans="1:42" s="150" customFormat="1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W20"/>
      <c r="X20"/>
      <c r="Y20" s="121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13"/>
    </row>
    <row r="21" spans="1:42" s="150" customFormat="1" x14ac:dyDescent="0.2">
      <c r="A21" s="14"/>
      <c r="B21"/>
      <c r="C21"/>
      <c r="D21" s="27"/>
      <c r="E21" s="27"/>
      <c r="F21"/>
      <c r="G21"/>
      <c r="H21"/>
      <c r="I21"/>
      <c r="J21"/>
      <c r="K21"/>
      <c r="L21"/>
      <c r="M21"/>
      <c r="N21"/>
      <c r="O21"/>
      <c r="P21"/>
      <c r="Q21"/>
      <c r="R21" s="28"/>
      <c r="S21" s="28"/>
      <c r="T21" s="16"/>
      <c r="U21" s="16"/>
      <c r="W21"/>
      <c r="X21"/>
      <c r="Y21" s="1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 s="113"/>
    </row>
    <row r="22" spans="1:42" ht="30.75" hidden="1" customHeight="1" x14ac:dyDescent="0.2">
      <c r="A22" s="568" t="s">
        <v>613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1:42" hidden="1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</row>
    <row r="24" spans="1:42" x14ac:dyDescent="0.2">
      <c r="AA24" s="16"/>
      <c r="AO24" s="150"/>
    </row>
  </sheetData>
  <mergeCells count="25"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22:X2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25"/>
  <sheetViews>
    <sheetView topLeftCell="P10" zoomScale="145" zoomScaleNormal="145" workbookViewId="0">
      <selection activeCell="AS19" sqref="AS1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3" width="8.42578125" style="16" customWidth="1"/>
    <col min="24" max="24" width="8.42578125" style="16" hidden="1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9" width="7.7109375" hidden="1" customWidth="1"/>
    <col min="40" max="40" width="9" hidden="1" customWidth="1"/>
    <col min="41" max="42" width="7.7109375" hidden="1" customWidth="1"/>
    <col min="43" max="43" width="7.7109375" customWidth="1"/>
    <col min="44" max="44" width="9.28515625" customWidth="1"/>
    <col min="45" max="45" width="10" style="113" customWidth="1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 t="s">
        <v>454</v>
      </c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811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62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6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64" t="s">
        <v>680</v>
      </c>
      <c r="O11" s="556" t="s">
        <v>643</v>
      </c>
      <c r="P11" s="369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66"/>
      <c r="V11" s="558" t="s">
        <v>746</v>
      </c>
      <c r="W11" s="558" t="s">
        <v>747</v>
      </c>
      <c r="X11" s="365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811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67"/>
      <c r="V12" s="569"/>
      <c r="W12" s="569"/>
      <c r="X12" s="368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792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82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206" t="s">
        <v>812</v>
      </c>
      <c r="B15" s="146" t="s">
        <v>813</v>
      </c>
      <c r="C15" s="84" t="s">
        <v>811</v>
      </c>
      <c r="D15" s="105">
        <v>3</v>
      </c>
      <c r="E15" s="167">
        <v>0.33329999999999999</v>
      </c>
      <c r="F15" s="83">
        <v>42185</v>
      </c>
      <c r="G15" s="204">
        <v>36</v>
      </c>
      <c r="H15" s="203">
        <f>100/G15</f>
        <v>2.7777777777777777</v>
      </c>
      <c r="I15" s="232">
        <f t="shared" ref="I15" si="0">H15*J15</f>
        <v>113.88888888888889</v>
      </c>
      <c r="J15" s="86">
        <f>(YEAR(F15)-YEAR(S15))*12+MONTH(F15)-MONTH(S15)</f>
        <v>41</v>
      </c>
      <c r="K15" s="232">
        <f>L15*H15</f>
        <v>0</v>
      </c>
      <c r="L15" s="86">
        <v>0</v>
      </c>
      <c r="M15" s="232">
        <f>N15*H15</f>
        <v>0</v>
      </c>
      <c r="N15" s="86">
        <v>0</v>
      </c>
      <c r="O15" s="232">
        <f t="shared" ref="O15" si="1">K15-M15</f>
        <v>0</v>
      </c>
      <c r="P15" s="86">
        <f t="shared" ref="P15" si="2">L15-N15</f>
        <v>0</v>
      </c>
      <c r="Q15" s="86">
        <f t="shared" ref="Q15" si="3">M15-O15</f>
        <v>0</v>
      </c>
      <c r="R15" s="204" t="s">
        <v>595</v>
      </c>
      <c r="S15" s="370">
        <v>40909</v>
      </c>
      <c r="T15" s="371">
        <v>650</v>
      </c>
      <c r="U15" s="115"/>
      <c r="V15" s="337">
        <f>T15*H15%*12</f>
        <v>216.66666666666663</v>
      </c>
      <c r="W15" s="337">
        <f>T15-V15</f>
        <v>433.33333333333337</v>
      </c>
      <c r="X15" s="104">
        <f>T15*H15%</f>
        <v>18.055555555555554</v>
      </c>
      <c r="Y15" s="151">
        <f>X15*5</f>
        <v>90.277777777777771</v>
      </c>
      <c r="Z15" s="339">
        <f>W15-Y15</f>
        <v>343.0555555555556</v>
      </c>
      <c r="AA15" s="102">
        <v>115.958</v>
      </c>
      <c r="AB15" s="102">
        <v>104.28400000000001</v>
      </c>
      <c r="AC15" s="102">
        <f>AA15/AB15</f>
        <v>1.1119443059337961</v>
      </c>
      <c r="AD15" s="104">
        <f>Z15/19</f>
        <v>18.055555555555557</v>
      </c>
      <c r="AE15" s="104">
        <f>AD15*AC15</f>
        <v>20.076772190471321</v>
      </c>
      <c r="AF15" s="104"/>
      <c r="AG15" s="104"/>
      <c r="AH15" s="104"/>
      <c r="AI15" s="104"/>
      <c r="AJ15" s="104"/>
      <c r="AK15" s="104">
        <f>AE15</f>
        <v>20.076772190471321</v>
      </c>
      <c r="AL15" s="104">
        <v>20.076772190471321</v>
      </c>
      <c r="AM15" s="104">
        <v>20.076772190471321</v>
      </c>
      <c r="AN15" s="104">
        <v>20.076772190471321</v>
      </c>
      <c r="AO15" s="104">
        <v>20.076772190471321</v>
      </c>
      <c r="AP15" s="104">
        <v>20.076772190471321</v>
      </c>
      <c r="AQ15" s="104">
        <v>20.076772190471321</v>
      </c>
      <c r="AR15" s="104">
        <f>SUM(AF15:AQ15)</f>
        <v>140.53740533329923</v>
      </c>
      <c r="AS15" s="115">
        <f>Z15-AR15</f>
        <v>202.51815022225637</v>
      </c>
    </row>
    <row r="16" spans="1:45" s="22" customFormat="1" x14ac:dyDescent="0.2">
      <c r="A16" s="172" t="s">
        <v>840</v>
      </c>
      <c r="B16" s="172"/>
      <c r="C16" s="178"/>
      <c r="D16" s="42"/>
      <c r="E16" s="3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9"/>
      <c r="S16" s="29"/>
      <c r="T16" s="18"/>
      <c r="U16" s="18"/>
      <c r="V16" s="18"/>
      <c r="W16" s="18"/>
      <c r="X16" s="18"/>
      <c r="Y16" s="154"/>
      <c r="Z16" s="110"/>
      <c r="AA16" s="110"/>
      <c r="AB16" s="126"/>
      <c r="AC16" s="110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17"/>
    </row>
    <row r="17" spans="1:45" s="22" customFormat="1" x14ac:dyDescent="0.2">
      <c r="A17" s="172" t="s">
        <v>814</v>
      </c>
      <c r="B17" s="13"/>
      <c r="C17" s="87"/>
      <c r="D17" s="208"/>
      <c r="E17" s="3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8"/>
      <c r="V17" s="18"/>
      <c r="W17" s="18"/>
      <c r="X17" s="18"/>
      <c r="Y17" s="154"/>
      <c r="Z17" s="110"/>
      <c r="AA17" s="110"/>
      <c r="AB17" s="158"/>
      <c r="AC17" s="110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17"/>
    </row>
    <row r="18" spans="1:45" s="22" customFormat="1" x14ac:dyDescent="0.2">
      <c r="A18" s="206" t="s">
        <v>815</v>
      </c>
      <c r="B18" s="146" t="s">
        <v>816</v>
      </c>
      <c r="C18" s="84" t="s">
        <v>811</v>
      </c>
      <c r="D18" s="105">
        <v>3</v>
      </c>
      <c r="E18" s="167">
        <v>0.33329999999999999</v>
      </c>
      <c r="F18" s="83">
        <v>42185</v>
      </c>
      <c r="G18" s="204">
        <v>36</v>
      </c>
      <c r="H18" s="203">
        <f>100/G18</f>
        <v>2.7777777777777777</v>
      </c>
      <c r="I18" s="232">
        <f t="shared" ref="I18:I19" si="4">H18*J18</f>
        <v>280.55555555555554</v>
      </c>
      <c r="J18" s="86">
        <f>(YEAR(F18)-YEAR(S18))*12+MONTH(F18)-MONTH(S18)</f>
        <v>101</v>
      </c>
      <c r="K18" s="232">
        <f>L18*H18</f>
        <v>0</v>
      </c>
      <c r="L18" s="86">
        <v>0</v>
      </c>
      <c r="M18" s="232">
        <f>N18*H18</f>
        <v>0</v>
      </c>
      <c r="N18" s="86">
        <v>0</v>
      </c>
      <c r="O18" s="232">
        <f t="shared" ref="O18:O19" si="5">K18-M18</f>
        <v>0</v>
      </c>
      <c r="P18" s="86">
        <f t="shared" ref="P18:P19" si="6">L18-N18</f>
        <v>0</v>
      </c>
      <c r="Q18" s="86">
        <f t="shared" ref="Q18:Q19" si="7">M18-O18</f>
        <v>0</v>
      </c>
      <c r="R18" s="204" t="s">
        <v>595</v>
      </c>
      <c r="S18" s="370">
        <v>39083</v>
      </c>
      <c r="T18" s="371">
        <v>300</v>
      </c>
      <c r="U18" s="115"/>
      <c r="V18" s="337">
        <f>T18*H18%*12</f>
        <v>99.999999999999986</v>
      </c>
      <c r="W18" s="337">
        <f>T18-V18</f>
        <v>200</v>
      </c>
      <c r="X18" s="104">
        <f>T18*H18%</f>
        <v>8.3333333333333321</v>
      </c>
      <c r="Y18" s="151">
        <f>X18*5</f>
        <v>41.666666666666657</v>
      </c>
      <c r="Z18" s="339">
        <f>W18-Y18</f>
        <v>158.33333333333334</v>
      </c>
      <c r="AA18" s="102">
        <v>115.958</v>
      </c>
      <c r="AB18" s="102">
        <v>121.64</v>
      </c>
      <c r="AC18" s="102">
        <f>AA18/AB18</f>
        <v>0.95328839197632353</v>
      </c>
      <c r="AD18" s="104">
        <f>Z18/19</f>
        <v>8.3333333333333339</v>
      </c>
      <c r="AE18" s="104">
        <f>AD18*AC18</f>
        <v>7.9440699331360296</v>
      </c>
      <c r="AF18" s="104"/>
      <c r="AG18" s="104"/>
      <c r="AH18" s="104"/>
      <c r="AI18" s="104"/>
      <c r="AJ18" s="104"/>
      <c r="AK18" s="104">
        <f>AE18</f>
        <v>7.9440699331360296</v>
      </c>
      <c r="AL18" s="104">
        <v>7.9440699331360296</v>
      </c>
      <c r="AM18" s="104">
        <v>7.9440699331360296</v>
      </c>
      <c r="AN18" s="104">
        <v>7.9440699331360296</v>
      </c>
      <c r="AO18" s="104">
        <v>7.9440699331360296</v>
      </c>
      <c r="AP18" s="104">
        <v>7.9440699331360296</v>
      </c>
      <c r="AQ18" s="104">
        <v>7.9440699331360296</v>
      </c>
      <c r="AR18" s="104">
        <f>SUM(AF18:AQ18)</f>
        <v>55.608489531952202</v>
      </c>
      <c r="AS18" s="115">
        <f>Z18-AR18</f>
        <v>102.72484380138114</v>
      </c>
    </row>
    <row r="19" spans="1:45" s="22" customFormat="1" x14ac:dyDescent="0.2">
      <c r="A19" s="206" t="s">
        <v>812</v>
      </c>
      <c r="B19" s="146" t="s">
        <v>817</v>
      </c>
      <c r="C19" s="84" t="s">
        <v>811</v>
      </c>
      <c r="D19" s="105">
        <v>3</v>
      </c>
      <c r="E19" s="167">
        <v>0.33329999999999999</v>
      </c>
      <c r="F19" s="83">
        <v>42185</v>
      </c>
      <c r="G19" s="204">
        <v>36</v>
      </c>
      <c r="H19" s="203">
        <f>100/G19</f>
        <v>2.7777777777777777</v>
      </c>
      <c r="I19" s="232">
        <f t="shared" si="4"/>
        <v>247.2222222222222</v>
      </c>
      <c r="J19" s="86">
        <f>(YEAR(F19)-YEAR(S19))*12+MONTH(F19)-MONTH(S19)</f>
        <v>89</v>
      </c>
      <c r="K19" s="232">
        <f>L19*H19</f>
        <v>0</v>
      </c>
      <c r="L19" s="86">
        <v>0</v>
      </c>
      <c r="M19" s="232">
        <f>N19*H19</f>
        <v>0</v>
      </c>
      <c r="N19" s="86">
        <v>0</v>
      </c>
      <c r="O19" s="232">
        <f t="shared" si="5"/>
        <v>0</v>
      </c>
      <c r="P19" s="86">
        <f t="shared" si="6"/>
        <v>0</v>
      </c>
      <c r="Q19" s="86">
        <f t="shared" si="7"/>
        <v>0</v>
      </c>
      <c r="R19" s="204" t="s">
        <v>595</v>
      </c>
      <c r="S19" s="370">
        <v>39448</v>
      </c>
      <c r="T19" s="371">
        <v>70</v>
      </c>
      <c r="U19" s="115"/>
      <c r="V19" s="337">
        <f>T19*H19%*12</f>
        <v>23.333333333333332</v>
      </c>
      <c r="W19" s="337">
        <f>T19-V19</f>
        <v>46.666666666666671</v>
      </c>
      <c r="X19" s="104">
        <f>T19*H19%</f>
        <v>1.9444444444444444</v>
      </c>
      <c r="Y19" s="151">
        <f>X19*5</f>
        <v>9.7222222222222214</v>
      </c>
      <c r="Z19" s="339">
        <f>W19-Y19</f>
        <v>36.94444444444445</v>
      </c>
      <c r="AA19" s="102">
        <v>115.958</v>
      </c>
      <c r="AB19" s="102">
        <v>126.146</v>
      </c>
      <c r="AC19" s="102">
        <f>AA19/AB19</f>
        <v>0.91923644031519036</v>
      </c>
      <c r="AD19" s="104">
        <f>Z19/19</f>
        <v>1.9444444444444446</v>
      </c>
      <c r="AE19" s="104">
        <f>AD19*AC19</f>
        <v>1.7874041895017592</v>
      </c>
      <c r="AF19" s="104"/>
      <c r="AG19" s="104"/>
      <c r="AH19" s="104"/>
      <c r="AI19" s="104"/>
      <c r="AJ19" s="104"/>
      <c r="AK19" s="104">
        <f>AE19</f>
        <v>1.7874041895017592</v>
      </c>
      <c r="AL19" s="104">
        <v>1.7874041895017592</v>
      </c>
      <c r="AM19" s="104">
        <v>1.7874041895017592</v>
      </c>
      <c r="AN19" s="104">
        <v>1.7874041895017592</v>
      </c>
      <c r="AO19" s="104">
        <v>1.7874041895017592</v>
      </c>
      <c r="AP19" s="104">
        <v>1.7874041895017592</v>
      </c>
      <c r="AQ19" s="104">
        <v>1.7874041895017592</v>
      </c>
      <c r="AR19" s="104">
        <f>SUM(AF19:AQ19)</f>
        <v>12.511829326512313</v>
      </c>
      <c r="AS19" s="115">
        <f>Z19-AR19</f>
        <v>24.432615117932137</v>
      </c>
    </row>
    <row r="20" spans="1:45" s="22" customFormat="1" x14ac:dyDescent="0.2">
      <c r="A20" s="206" t="s">
        <v>812</v>
      </c>
      <c r="B20" s="146" t="s">
        <v>818</v>
      </c>
      <c r="C20" s="84" t="s">
        <v>811</v>
      </c>
      <c r="D20" s="105">
        <v>3</v>
      </c>
      <c r="E20" s="167">
        <v>0.33329999999999999</v>
      </c>
      <c r="F20" s="83">
        <v>42185</v>
      </c>
      <c r="G20" s="204">
        <v>36</v>
      </c>
      <c r="H20" s="203">
        <f>100/G20</f>
        <v>2.7777777777777777</v>
      </c>
      <c r="I20" s="232">
        <f t="shared" ref="I20" si="8">H20*J20</f>
        <v>180.55555555555554</v>
      </c>
      <c r="J20" s="86">
        <f>(YEAR(F20)-YEAR(S20))*12+MONTH(F20)-MONTH(S20)</f>
        <v>65</v>
      </c>
      <c r="K20" s="232">
        <f>L20*H20</f>
        <v>0</v>
      </c>
      <c r="L20" s="86">
        <v>0</v>
      </c>
      <c r="M20" s="232">
        <f>N20*H20</f>
        <v>0</v>
      </c>
      <c r="N20" s="86">
        <v>0</v>
      </c>
      <c r="O20" s="232">
        <f t="shared" ref="O20" si="9">K20-M20</f>
        <v>0</v>
      </c>
      <c r="P20" s="86">
        <f t="shared" ref="P20" si="10">L20-N20</f>
        <v>0</v>
      </c>
      <c r="Q20" s="86">
        <f t="shared" ref="Q20" si="11">M20-O20</f>
        <v>0</v>
      </c>
      <c r="R20" s="204" t="s">
        <v>595</v>
      </c>
      <c r="S20" s="370">
        <v>40179</v>
      </c>
      <c r="T20" s="371">
        <v>1200</v>
      </c>
      <c r="U20" s="115"/>
      <c r="V20" s="337">
        <f>T20*H20%*12</f>
        <v>399.99999999999994</v>
      </c>
      <c r="W20" s="337">
        <f>T20-V20</f>
        <v>800</v>
      </c>
      <c r="X20" s="104">
        <f>T20*H20%</f>
        <v>33.333333333333329</v>
      </c>
      <c r="Y20" s="151">
        <f>X20*5</f>
        <v>166.66666666666663</v>
      </c>
      <c r="Z20" s="339">
        <f>W20-Y20</f>
        <v>633.33333333333337</v>
      </c>
      <c r="AA20" s="102">
        <v>115.958</v>
      </c>
      <c r="AB20" s="102">
        <v>140.047</v>
      </c>
      <c r="AC20" s="102">
        <f>AA20/AB20</f>
        <v>0.82799345933865065</v>
      </c>
      <c r="AD20" s="104">
        <f>Z20/19</f>
        <v>33.333333333333336</v>
      </c>
      <c r="AE20" s="104">
        <f>AD20*AC20</f>
        <v>27.599781977955022</v>
      </c>
      <c r="AF20" s="104"/>
      <c r="AG20" s="104"/>
      <c r="AH20" s="104"/>
      <c r="AI20" s="104"/>
      <c r="AJ20" s="104"/>
      <c r="AK20" s="104">
        <f>AE20</f>
        <v>27.599781977955022</v>
      </c>
      <c r="AL20" s="104">
        <v>27.599781977955022</v>
      </c>
      <c r="AM20" s="104">
        <v>27.599781977955022</v>
      </c>
      <c r="AN20" s="104">
        <v>27.599781977955022</v>
      </c>
      <c r="AO20" s="104">
        <v>27.599781977955022</v>
      </c>
      <c r="AP20" s="104">
        <v>27.599781977955022</v>
      </c>
      <c r="AQ20" s="104">
        <v>27.599781977955022</v>
      </c>
      <c r="AR20" s="104">
        <f>SUM(AF20:AQ20)</f>
        <v>193.19847384568516</v>
      </c>
      <c r="AS20" s="115">
        <f>Z20-AR20</f>
        <v>440.13485948764821</v>
      </c>
    </row>
    <row r="21" spans="1:45" x14ac:dyDescent="0.2">
      <c r="R21" s="243"/>
      <c r="V21" s="336">
        <f>SUM(V15:V20)</f>
        <v>739.99999999999989</v>
      </c>
      <c r="W21" s="336">
        <f>SUM(W15:W20)</f>
        <v>1480</v>
      </c>
      <c r="Y21" s="309"/>
      <c r="Z21" s="351">
        <f>SUM(Z15:Z20)</f>
        <v>1171.6666666666667</v>
      </c>
      <c r="AD21" s="263"/>
      <c r="AE21" s="263"/>
      <c r="AF21" s="263" t="e">
        <f>SUM(#REF!)</f>
        <v>#REF!</v>
      </c>
      <c r="AG21" s="263" t="e">
        <f>SUM(#REF!)</f>
        <v>#REF!</v>
      </c>
      <c r="AH21" s="263" t="e">
        <f>SUM(#REF!)</f>
        <v>#REF!</v>
      </c>
      <c r="AI21" s="263" t="e">
        <f>SUM(#REF!)</f>
        <v>#REF!</v>
      </c>
      <c r="AJ21" s="263" t="e">
        <f>SUM(#REF!)</f>
        <v>#REF!</v>
      </c>
      <c r="AK21" s="263">
        <f t="shared" ref="AK21:AS21" si="12">SUM(AK15:AK20)</f>
        <v>57.408028291064134</v>
      </c>
      <c r="AL21" s="263"/>
      <c r="AM21" s="263"/>
      <c r="AN21" s="263"/>
      <c r="AO21" s="263"/>
      <c r="AP21" s="263">
        <f t="shared" si="12"/>
        <v>57.408028291064134</v>
      </c>
      <c r="AQ21" s="374">
        <f t="shared" si="12"/>
        <v>57.408028291064134</v>
      </c>
      <c r="AR21" s="361">
        <f t="shared" si="12"/>
        <v>401.85619803744891</v>
      </c>
      <c r="AS21" s="263">
        <f t="shared" si="12"/>
        <v>769.81046862921789</v>
      </c>
    </row>
    <row r="22" spans="1:45" s="150" customFormat="1" x14ac:dyDescent="0.2">
      <c r="A22" s="156" t="s">
        <v>460</v>
      </c>
      <c r="B22" s="132"/>
      <c r="C22" s="132"/>
      <c r="D22" s="133"/>
      <c r="E22" s="133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4"/>
      <c r="S22" s="134"/>
      <c r="T22" s="135"/>
      <c r="U22" s="135"/>
      <c r="V22" s="135"/>
      <c r="W22" s="135"/>
      <c r="X22" s="135"/>
      <c r="Z22"/>
      <c r="AA22"/>
      <c r="AB22" s="12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 s="113"/>
    </row>
    <row r="23" spans="1:45" s="150" customFormat="1" x14ac:dyDescent="0.2">
      <c r="A23" s="310" t="s">
        <v>719</v>
      </c>
      <c r="B23" s="311"/>
      <c r="C23" s="311"/>
      <c r="D23" s="312"/>
      <c r="E23" s="312"/>
      <c r="F23"/>
      <c r="G23"/>
      <c r="H23"/>
      <c r="I23"/>
      <c r="J23"/>
      <c r="K23"/>
      <c r="L23"/>
      <c r="M23"/>
      <c r="N23"/>
      <c r="O23"/>
      <c r="P23"/>
      <c r="Q23"/>
      <c r="R23" s="28"/>
      <c r="S23" s="28"/>
      <c r="T23" s="16"/>
      <c r="U23" s="16"/>
      <c r="V23" s="16"/>
      <c r="W23" s="16"/>
      <c r="X23" s="16"/>
      <c r="Z23"/>
      <c r="AA23"/>
      <c r="AB23" s="130"/>
      <c r="AC23"/>
      <c r="AD23"/>
      <c r="AE23" s="16"/>
      <c r="AF23"/>
      <c r="AG23"/>
      <c r="AH23"/>
      <c r="AI23"/>
      <c r="AJ23"/>
      <c r="AK23"/>
      <c r="AL23"/>
      <c r="AM23"/>
      <c r="AN23"/>
      <c r="AO23"/>
      <c r="AP23"/>
      <c r="AQ23"/>
      <c r="AR23" s="360"/>
      <c r="AS23" s="113"/>
    </row>
    <row r="24" spans="1:45" ht="30.75" hidden="1" customHeight="1" x14ac:dyDescent="0.2">
      <c r="A24" s="568" t="s">
        <v>613</v>
      </c>
      <c r="B24" s="568"/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239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</row>
    <row r="25" spans="1:45" hidden="1" x14ac:dyDescent="0.2">
      <c r="A25" s="568"/>
      <c r="B25" s="568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</row>
  </sheetData>
  <mergeCells count="26"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  <mergeCell ref="A24:AA25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169"/>
  <sheetViews>
    <sheetView topLeftCell="A118" zoomScale="115" zoomScaleNormal="115" workbookViewId="0">
      <selection activeCell="F185" sqref="F185"/>
    </sheetView>
  </sheetViews>
  <sheetFormatPr baseColWidth="10" defaultRowHeight="12.75" x14ac:dyDescent="0.2"/>
  <cols>
    <col min="2" max="2" width="38.28515625" bestFit="1" customWidth="1"/>
    <col min="3" max="3" width="22.140625" customWidth="1"/>
    <col min="4" max="4" width="11.5703125" customWidth="1"/>
    <col min="25" max="30" width="0" hidden="1" customWidth="1"/>
  </cols>
  <sheetData>
    <row r="1" spans="1:34" x14ac:dyDescent="0.2">
      <c r="A1" s="23"/>
      <c r="B1" s="23"/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H1" s="23"/>
    </row>
    <row r="2" spans="1:34" x14ac:dyDescent="0.2">
      <c r="A2" s="23"/>
      <c r="B2" s="23"/>
      <c r="C2" s="2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H2" s="23"/>
    </row>
    <row r="3" spans="1:34" x14ac:dyDescent="0.2">
      <c r="A3" s="23"/>
      <c r="B3" s="576" t="s">
        <v>173</v>
      </c>
      <c r="C3" s="576"/>
      <c r="D3" s="26"/>
      <c r="E3" s="26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 t="s">
        <v>256</v>
      </c>
      <c r="X3" s="23"/>
      <c r="Y3" s="23"/>
      <c r="Z3" s="23"/>
      <c r="AA3" s="23"/>
      <c r="AB3" s="23"/>
      <c r="AC3" s="23"/>
      <c r="AD3" s="23"/>
      <c r="AE3" s="23"/>
      <c r="AF3" s="23"/>
      <c r="AH3" s="23"/>
    </row>
    <row r="4" spans="1:34" x14ac:dyDescent="0.2">
      <c r="A4" s="23"/>
      <c r="B4" s="23"/>
      <c r="C4" s="23"/>
      <c r="D4" s="26"/>
      <c r="E4" s="50" t="s">
        <v>200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H4" s="23"/>
    </row>
    <row r="5" spans="1:34" x14ac:dyDescent="0.2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H5" s="23"/>
    </row>
    <row r="6" spans="1:34" x14ac:dyDescent="0.2">
      <c r="A6" s="23"/>
      <c r="B6" s="23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H6" s="23"/>
    </row>
    <row r="7" spans="1:34" s="22" customFormat="1" x14ac:dyDescent="0.2">
      <c r="C7" s="56"/>
    </row>
    <row r="8" spans="1:34" s="22" customFormat="1" x14ac:dyDescent="0.2">
      <c r="A8" s="574" t="s">
        <v>272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4"/>
      <c r="X8" s="574"/>
      <c r="Y8" s="574"/>
      <c r="Z8" s="574"/>
      <c r="AA8" s="574"/>
      <c r="AB8" s="574"/>
      <c r="AC8" s="574"/>
      <c r="AD8" s="574"/>
      <c r="AE8" s="574"/>
      <c r="AF8" s="574"/>
    </row>
    <row r="9" spans="1:34" ht="19.5" customHeight="1" x14ac:dyDescent="0.25">
      <c r="A9" s="577" t="s">
        <v>59</v>
      </c>
      <c r="B9" s="577" t="s">
        <v>60</v>
      </c>
      <c r="C9" s="577" t="s">
        <v>0</v>
      </c>
      <c r="D9" s="579" t="s">
        <v>58</v>
      </c>
      <c r="E9" s="577" t="s">
        <v>59</v>
      </c>
      <c r="F9" s="579" t="s">
        <v>1</v>
      </c>
      <c r="G9" s="579" t="s">
        <v>30</v>
      </c>
      <c r="H9" s="579" t="s">
        <v>65</v>
      </c>
      <c r="I9" s="58" t="s">
        <v>2</v>
      </c>
      <c r="J9" s="58" t="s">
        <v>16</v>
      </c>
      <c r="K9" s="58" t="s">
        <v>16</v>
      </c>
      <c r="L9" s="58" t="s">
        <v>17</v>
      </c>
      <c r="M9" s="58" t="s">
        <v>18</v>
      </c>
      <c r="N9" s="58" t="s">
        <v>17</v>
      </c>
      <c r="O9" s="58" t="s">
        <v>2</v>
      </c>
      <c r="P9" s="58" t="s">
        <v>83</v>
      </c>
      <c r="Q9" s="35" t="s">
        <v>66</v>
      </c>
      <c r="R9" s="36" t="s">
        <v>83</v>
      </c>
      <c r="S9" s="58" t="s">
        <v>3</v>
      </c>
      <c r="T9" s="58" t="s">
        <v>4</v>
      </c>
      <c r="U9" s="58" t="s">
        <v>5</v>
      </c>
      <c r="V9" s="58" t="s">
        <v>6</v>
      </c>
      <c r="W9" s="58" t="s">
        <v>7</v>
      </c>
      <c r="X9" s="58" t="s">
        <v>8</v>
      </c>
      <c r="Y9" s="58" t="s">
        <v>9</v>
      </c>
      <c r="Z9" s="58" t="s">
        <v>10</v>
      </c>
      <c r="AA9" s="58" t="s">
        <v>11</v>
      </c>
      <c r="AB9" s="58" t="s">
        <v>12</v>
      </c>
      <c r="AC9" s="58" t="s">
        <v>13</v>
      </c>
      <c r="AD9" s="58" t="s">
        <v>14</v>
      </c>
      <c r="AE9" s="58" t="s">
        <v>15</v>
      </c>
      <c r="AF9" s="58" t="s">
        <v>66</v>
      </c>
      <c r="AH9" s="35" t="s">
        <v>66</v>
      </c>
    </row>
    <row r="10" spans="1:34" ht="18" customHeight="1" x14ac:dyDescent="0.25">
      <c r="A10" s="578" t="s">
        <v>19</v>
      </c>
      <c r="B10" s="578"/>
      <c r="C10" s="578"/>
      <c r="D10" s="580"/>
      <c r="E10" s="578" t="s">
        <v>19</v>
      </c>
      <c r="F10" s="580"/>
      <c r="G10" s="580"/>
      <c r="H10" s="580">
        <v>41639</v>
      </c>
      <c r="I10" s="58" t="s">
        <v>20</v>
      </c>
      <c r="J10" s="58" t="s">
        <v>21</v>
      </c>
      <c r="K10" s="58" t="s">
        <v>22</v>
      </c>
      <c r="L10" s="58" t="s">
        <v>23</v>
      </c>
      <c r="M10" s="58" t="s">
        <v>24</v>
      </c>
      <c r="N10" s="58" t="s">
        <v>23</v>
      </c>
      <c r="O10" s="58" t="s">
        <v>25</v>
      </c>
      <c r="P10" s="58" t="s">
        <v>84</v>
      </c>
      <c r="Q10" s="37" t="s">
        <v>446</v>
      </c>
      <c r="R10" s="37" t="s">
        <v>447</v>
      </c>
      <c r="S10" s="58">
        <v>2014</v>
      </c>
      <c r="T10" s="58">
        <v>2014</v>
      </c>
      <c r="U10" s="58">
        <v>2014</v>
      </c>
      <c r="V10" s="58">
        <v>2014</v>
      </c>
      <c r="W10" s="58">
        <v>2014</v>
      </c>
      <c r="X10" s="58">
        <v>2014</v>
      </c>
      <c r="Y10" s="58">
        <v>2014</v>
      </c>
      <c r="Z10" s="58">
        <v>2014</v>
      </c>
      <c r="AA10" s="58">
        <v>2014</v>
      </c>
      <c r="AB10" s="58">
        <v>2014</v>
      </c>
      <c r="AC10" s="58">
        <v>2014</v>
      </c>
      <c r="AD10" s="58">
        <v>2014</v>
      </c>
      <c r="AE10" s="58">
        <v>2014</v>
      </c>
      <c r="AF10" s="58" t="s">
        <v>67</v>
      </c>
      <c r="AH10" s="37" t="s">
        <v>446</v>
      </c>
    </row>
    <row r="11" spans="1:34" ht="13.5" x14ac:dyDescent="0.25">
      <c r="A11" s="15"/>
      <c r="B11" s="41" t="s">
        <v>68</v>
      </c>
      <c r="C11" s="41" t="s">
        <v>26</v>
      </c>
      <c r="D11" s="46"/>
      <c r="E11" s="15"/>
      <c r="F11" s="15"/>
      <c r="G11" s="43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H11" s="15"/>
    </row>
    <row r="12" spans="1:34" ht="13.5" x14ac:dyDescent="0.25">
      <c r="A12" s="15"/>
      <c r="B12" s="41" t="s">
        <v>69</v>
      </c>
      <c r="C12" s="54"/>
      <c r="D12" s="46"/>
      <c r="E12" s="15"/>
      <c r="F12" s="15"/>
      <c r="G12" s="4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H12" s="15"/>
    </row>
    <row r="13" spans="1:34" s="22" customFormat="1" x14ac:dyDescent="0.2">
      <c r="A13" s="29">
        <v>40823</v>
      </c>
      <c r="B13" s="29" t="s">
        <v>257</v>
      </c>
      <c r="C13" s="13" t="s">
        <v>258</v>
      </c>
      <c r="D13" s="48">
        <v>0.33329999999999999</v>
      </c>
      <c r="E13" s="52">
        <v>40823</v>
      </c>
      <c r="F13" s="53">
        <v>649</v>
      </c>
      <c r="G13" s="55">
        <v>26</v>
      </c>
      <c r="H13" s="32">
        <f t="shared" ref="H13:H20" si="0">((F13*D13)/12)*G13</f>
        <v>468.67534999999998</v>
      </c>
      <c r="I13" s="31">
        <f t="shared" ref="I13:I20" si="1">F13-H13</f>
        <v>180.32465000000002</v>
      </c>
      <c r="J13" s="33">
        <v>112.72199999999999</v>
      </c>
      <c r="K13" s="33">
        <v>112.79</v>
      </c>
      <c r="L13" s="33">
        <f t="shared" ref="L13:L20" si="2">J13/K13</f>
        <v>0.99939710967284323</v>
      </c>
      <c r="M13" s="32">
        <f t="shared" ref="M13:M20" si="3">I13*L13</f>
        <v>180.21593401276709</v>
      </c>
      <c r="N13" s="33">
        <f t="shared" ref="N13:N20" si="4">112.722/K13</f>
        <v>0.99939710967284323</v>
      </c>
      <c r="O13" s="32">
        <f t="shared" ref="O13:O20" si="5">I13*L13</f>
        <v>180.21593401276709</v>
      </c>
      <c r="P13" s="34">
        <v>36</v>
      </c>
      <c r="Q13" s="34"/>
      <c r="R13" s="34"/>
      <c r="S13" s="32">
        <f t="shared" ref="S13:S20" si="6">(D13*F13)/12</f>
        <v>18.025974999999999</v>
      </c>
      <c r="T13" s="32">
        <f t="shared" ref="T13:T20" si="7">(($F13*D13)/12)</f>
        <v>18.025974999999999</v>
      </c>
      <c r="U13" s="32">
        <f t="shared" ref="U13:U20" si="8">(($F13*D13)/12)</f>
        <v>18.025974999999999</v>
      </c>
      <c r="V13" s="32">
        <f t="shared" ref="V13:V20" si="9">(($F13*D13)/12)</f>
        <v>18.025974999999999</v>
      </c>
      <c r="W13" s="32">
        <f t="shared" ref="W13:W20" si="10">(($F13*D13)/12)</f>
        <v>18.025974999999999</v>
      </c>
      <c r="X13" s="32">
        <f t="shared" ref="X13:X20" si="11">(($F13*D13)/12)</f>
        <v>18.025974999999999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f t="shared" ref="AE13:AE20" si="12">SUM(S13:AD13)</f>
        <v>108.15585</v>
      </c>
      <c r="AF13" s="32">
        <f>I13-AE13</f>
        <v>72.168800000000019</v>
      </c>
      <c r="AH13" s="34"/>
    </row>
    <row r="14" spans="1:34" s="22" customFormat="1" x14ac:dyDescent="0.2">
      <c r="A14" s="29">
        <v>40823</v>
      </c>
      <c r="B14" s="29" t="s">
        <v>257</v>
      </c>
      <c r="C14" s="13" t="s">
        <v>259</v>
      </c>
      <c r="D14" s="48">
        <v>0.33329999999999999</v>
      </c>
      <c r="E14" s="52">
        <v>40823</v>
      </c>
      <c r="F14" s="53">
        <v>1488</v>
      </c>
      <c r="G14" s="55">
        <v>26</v>
      </c>
      <c r="H14" s="32">
        <f t="shared" si="0"/>
        <v>1074.5591999999999</v>
      </c>
      <c r="I14" s="31">
        <f t="shared" si="1"/>
        <v>413.44080000000008</v>
      </c>
      <c r="J14" s="33">
        <v>112.72199999999999</v>
      </c>
      <c r="K14" s="33">
        <v>112.79</v>
      </c>
      <c r="L14" s="33">
        <f t="shared" si="2"/>
        <v>0.99939710967284323</v>
      </c>
      <c r="M14" s="32">
        <f t="shared" si="3"/>
        <v>413.1915405408281</v>
      </c>
      <c r="N14" s="33">
        <f t="shared" si="4"/>
        <v>0.99939710967284323</v>
      </c>
      <c r="O14" s="32">
        <f t="shared" si="5"/>
        <v>413.1915405408281</v>
      </c>
      <c r="P14" s="34">
        <v>36</v>
      </c>
      <c r="Q14" s="34"/>
      <c r="R14" s="34"/>
      <c r="S14" s="32">
        <f t="shared" si="6"/>
        <v>41.3292</v>
      </c>
      <c r="T14" s="32">
        <f t="shared" si="7"/>
        <v>41.3292</v>
      </c>
      <c r="U14" s="32">
        <f t="shared" si="8"/>
        <v>41.3292</v>
      </c>
      <c r="V14" s="32">
        <f t="shared" si="9"/>
        <v>41.3292</v>
      </c>
      <c r="W14" s="32">
        <f t="shared" si="10"/>
        <v>41.3292</v>
      </c>
      <c r="X14" s="32">
        <f t="shared" si="11"/>
        <v>41.3292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f t="shared" si="12"/>
        <v>247.97520000000003</v>
      </c>
      <c r="AF14" s="32">
        <f>I14-AE14</f>
        <v>165.46560000000005</v>
      </c>
      <c r="AH14" s="34"/>
    </row>
    <row r="15" spans="1:34" s="22" customFormat="1" x14ac:dyDescent="0.2">
      <c r="A15" s="29">
        <v>40823</v>
      </c>
      <c r="B15" s="29" t="s">
        <v>257</v>
      </c>
      <c r="C15" s="13" t="s">
        <v>260</v>
      </c>
      <c r="D15" s="48">
        <v>0.33329999999999999</v>
      </c>
      <c r="E15" s="52">
        <v>40823</v>
      </c>
      <c r="F15" s="53">
        <v>170</v>
      </c>
      <c r="G15" s="55">
        <v>26</v>
      </c>
      <c r="H15" s="32">
        <f t="shared" si="0"/>
        <v>122.76549999999997</v>
      </c>
      <c r="I15" s="31">
        <f t="shared" si="1"/>
        <v>47.234500000000025</v>
      </c>
      <c r="J15" s="33">
        <v>112.72199999999999</v>
      </c>
      <c r="K15" s="33">
        <v>112.79</v>
      </c>
      <c r="L15" s="33">
        <f t="shared" si="2"/>
        <v>0.99939710967284323</v>
      </c>
      <c r="M15" s="32">
        <f t="shared" si="3"/>
        <v>47.206022776841941</v>
      </c>
      <c r="N15" s="33">
        <f t="shared" si="4"/>
        <v>0.99939710967284323</v>
      </c>
      <c r="O15" s="32">
        <f t="shared" si="5"/>
        <v>47.206022776841941</v>
      </c>
      <c r="P15" s="34">
        <v>36</v>
      </c>
      <c r="Q15" s="34"/>
      <c r="R15" s="34"/>
      <c r="S15" s="32">
        <f t="shared" si="6"/>
        <v>4.7217499999999992</v>
      </c>
      <c r="T15" s="32">
        <f t="shared" si="7"/>
        <v>4.7217499999999992</v>
      </c>
      <c r="U15" s="32">
        <f t="shared" si="8"/>
        <v>4.7217499999999992</v>
      </c>
      <c r="V15" s="32">
        <f t="shared" si="9"/>
        <v>4.7217499999999992</v>
      </c>
      <c r="W15" s="32">
        <f t="shared" si="10"/>
        <v>4.7217499999999992</v>
      </c>
      <c r="X15" s="32">
        <f t="shared" si="11"/>
        <v>4.7217499999999992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f t="shared" si="12"/>
        <v>28.330499999999997</v>
      </c>
      <c r="AF15" s="32">
        <f>I15-AE15</f>
        <v>18.904000000000028</v>
      </c>
      <c r="AH15" s="34"/>
    </row>
    <row r="16" spans="1:34" s="22" customFormat="1" x14ac:dyDescent="0.2">
      <c r="A16" s="29">
        <v>40823</v>
      </c>
      <c r="B16" s="29" t="s">
        <v>257</v>
      </c>
      <c r="C16" s="13" t="s">
        <v>261</v>
      </c>
      <c r="D16" s="48">
        <v>0.33329999999999999</v>
      </c>
      <c r="E16" s="52">
        <v>40823</v>
      </c>
      <c r="F16" s="53">
        <v>160</v>
      </c>
      <c r="G16" s="55">
        <v>26</v>
      </c>
      <c r="H16" s="32">
        <f t="shared" si="0"/>
        <v>115.544</v>
      </c>
      <c r="I16" s="31">
        <f t="shared" si="1"/>
        <v>44.456000000000003</v>
      </c>
      <c r="J16" s="33">
        <v>112.72199999999999</v>
      </c>
      <c r="K16" s="33">
        <v>112.79</v>
      </c>
      <c r="L16" s="33">
        <f t="shared" si="2"/>
        <v>0.99939710967284323</v>
      </c>
      <c r="M16" s="32">
        <f t="shared" si="3"/>
        <v>44.429197907615922</v>
      </c>
      <c r="N16" s="33">
        <f t="shared" si="4"/>
        <v>0.99939710967284323</v>
      </c>
      <c r="O16" s="32">
        <f t="shared" si="5"/>
        <v>44.429197907615922</v>
      </c>
      <c r="P16" s="34">
        <v>36</v>
      </c>
      <c r="Q16" s="34"/>
      <c r="R16" s="34"/>
      <c r="S16" s="32">
        <f t="shared" si="6"/>
        <v>4.444</v>
      </c>
      <c r="T16" s="32">
        <f t="shared" si="7"/>
        <v>4.444</v>
      </c>
      <c r="U16" s="32">
        <f t="shared" si="8"/>
        <v>4.444</v>
      </c>
      <c r="V16" s="32">
        <f t="shared" si="9"/>
        <v>4.444</v>
      </c>
      <c r="W16" s="32">
        <f t="shared" si="10"/>
        <v>4.444</v>
      </c>
      <c r="X16" s="32">
        <f t="shared" si="11"/>
        <v>4.444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f t="shared" si="12"/>
        <v>26.663999999999998</v>
      </c>
      <c r="AF16" s="32">
        <f>I16-AE16</f>
        <v>17.792000000000005</v>
      </c>
      <c r="AH16" s="34"/>
    </row>
    <row r="17" spans="1:199" s="22" customFormat="1" x14ac:dyDescent="0.2">
      <c r="A17" s="29">
        <v>40823</v>
      </c>
      <c r="B17" s="29" t="s">
        <v>257</v>
      </c>
      <c r="C17" s="13" t="s">
        <v>262</v>
      </c>
      <c r="D17" s="48">
        <v>0.33329999999999999</v>
      </c>
      <c r="E17" s="52">
        <v>38353</v>
      </c>
      <c r="F17" s="53">
        <v>5555.98</v>
      </c>
      <c r="G17" s="55">
        <v>26</v>
      </c>
      <c r="H17" s="32">
        <f t="shared" si="0"/>
        <v>4012.2509569999997</v>
      </c>
      <c r="I17" s="31">
        <f t="shared" si="1"/>
        <v>1543.7290429999998</v>
      </c>
      <c r="J17" s="33">
        <v>112.72199999999999</v>
      </c>
      <c r="K17" s="33">
        <v>112.79</v>
      </c>
      <c r="L17" s="33">
        <f t="shared" si="2"/>
        <v>0.99939710967284323</v>
      </c>
      <c r="M17" s="32">
        <f t="shared" si="3"/>
        <v>1542.7983436922241</v>
      </c>
      <c r="N17" s="33">
        <f t="shared" si="4"/>
        <v>0.99939710967284323</v>
      </c>
      <c r="O17" s="32">
        <f t="shared" si="5"/>
        <v>1542.7983436922241</v>
      </c>
      <c r="P17" s="34">
        <v>36</v>
      </c>
      <c r="Q17" s="34"/>
      <c r="R17" s="34"/>
      <c r="S17" s="32">
        <f t="shared" si="6"/>
        <v>154.31734449999999</v>
      </c>
      <c r="T17" s="32">
        <f t="shared" si="7"/>
        <v>154.31734449999999</v>
      </c>
      <c r="U17" s="32">
        <f t="shared" si="8"/>
        <v>154.31734449999999</v>
      </c>
      <c r="V17" s="32">
        <f t="shared" si="9"/>
        <v>154.31734449999999</v>
      </c>
      <c r="W17" s="32">
        <f t="shared" si="10"/>
        <v>154.31734449999999</v>
      </c>
      <c r="X17" s="32">
        <f t="shared" si="11"/>
        <v>154.31734449999999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f t="shared" si="12"/>
        <v>925.90406699999994</v>
      </c>
      <c r="AF17" s="32">
        <f>I17-AE17</f>
        <v>617.82497599999988</v>
      </c>
      <c r="AH17" s="34"/>
    </row>
    <row r="18" spans="1:199" s="22" customFormat="1" x14ac:dyDescent="0.2">
      <c r="A18" s="29">
        <v>37987</v>
      </c>
      <c r="B18" s="29" t="s">
        <v>257</v>
      </c>
      <c r="C18" s="13" t="s">
        <v>263</v>
      </c>
      <c r="D18" s="48">
        <v>0.33329999999999999</v>
      </c>
      <c r="E18" s="52">
        <v>37987</v>
      </c>
      <c r="F18" s="53">
        <v>500</v>
      </c>
      <c r="G18" s="55">
        <v>119</v>
      </c>
      <c r="H18" s="32">
        <f t="shared" si="0"/>
        <v>1652.6125000000002</v>
      </c>
      <c r="I18" s="31">
        <f t="shared" si="1"/>
        <v>-1152.6125000000002</v>
      </c>
      <c r="J18" s="33">
        <v>112.72199999999999</v>
      </c>
      <c r="K18" s="33">
        <v>112.79</v>
      </c>
      <c r="L18" s="33">
        <f t="shared" si="2"/>
        <v>0.99939710967284323</v>
      </c>
      <c r="M18" s="32">
        <f t="shared" si="3"/>
        <v>-1151.9176010727901</v>
      </c>
      <c r="N18" s="33">
        <f t="shared" si="4"/>
        <v>0.99939710967284323</v>
      </c>
      <c r="O18" s="32">
        <f t="shared" si="5"/>
        <v>-1151.9176010727901</v>
      </c>
      <c r="P18" s="34">
        <v>36</v>
      </c>
      <c r="Q18" s="32">
        <f>F18/P18*24</f>
        <v>333.33333333333337</v>
      </c>
      <c r="R18" s="34">
        <v>24</v>
      </c>
      <c r="S18" s="32">
        <f t="shared" si="6"/>
        <v>13.887500000000001</v>
      </c>
      <c r="T18" s="32">
        <f t="shared" si="7"/>
        <v>13.887500000000001</v>
      </c>
      <c r="U18" s="32">
        <f t="shared" si="8"/>
        <v>13.887500000000001</v>
      </c>
      <c r="V18" s="32">
        <f t="shared" si="9"/>
        <v>13.887500000000001</v>
      </c>
      <c r="W18" s="32">
        <f t="shared" si="10"/>
        <v>13.887500000000001</v>
      </c>
      <c r="X18" s="32">
        <f t="shared" si="11"/>
        <v>13.887500000000001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f t="shared" si="12"/>
        <v>83.325000000000003</v>
      </c>
      <c r="AF18" s="32">
        <f>Q18-AE18</f>
        <v>250.00833333333338</v>
      </c>
      <c r="AH18" s="32">
        <f>F18/P18*24</f>
        <v>333.33333333333337</v>
      </c>
    </row>
    <row r="19" spans="1:199" s="22" customFormat="1" x14ac:dyDescent="0.2">
      <c r="A19" s="29">
        <v>37987</v>
      </c>
      <c r="B19" s="29" t="s">
        <v>257</v>
      </c>
      <c r="C19" s="13" t="s">
        <v>203</v>
      </c>
      <c r="D19" s="48">
        <v>0.33329999999999999</v>
      </c>
      <c r="E19" s="52">
        <v>37987</v>
      </c>
      <c r="F19" s="53">
        <v>80</v>
      </c>
      <c r="G19" s="55">
        <v>119</v>
      </c>
      <c r="H19" s="32">
        <f t="shared" si="0"/>
        <v>264.41800000000001</v>
      </c>
      <c r="I19" s="31">
        <f t="shared" si="1"/>
        <v>-184.41800000000001</v>
      </c>
      <c r="J19" s="33">
        <v>112.72199999999999</v>
      </c>
      <c r="K19" s="33">
        <v>112.79</v>
      </c>
      <c r="L19" s="33">
        <f t="shared" si="2"/>
        <v>0.99939710967284323</v>
      </c>
      <c r="M19" s="32">
        <f t="shared" si="3"/>
        <v>-184.3068161716464</v>
      </c>
      <c r="N19" s="33">
        <f t="shared" si="4"/>
        <v>0.99939710967284323</v>
      </c>
      <c r="O19" s="32">
        <f t="shared" si="5"/>
        <v>-184.3068161716464</v>
      </c>
      <c r="P19" s="34">
        <v>36</v>
      </c>
      <c r="Q19" s="32">
        <f>F19/P19*24</f>
        <v>53.333333333333336</v>
      </c>
      <c r="R19" s="34">
        <v>24</v>
      </c>
      <c r="S19" s="32">
        <f t="shared" si="6"/>
        <v>2.222</v>
      </c>
      <c r="T19" s="32">
        <f t="shared" si="7"/>
        <v>2.222</v>
      </c>
      <c r="U19" s="32">
        <f t="shared" si="8"/>
        <v>2.222</v>
      </c>
      <c r="V19" s="32">
        <f t="shared" si="9"/>
        <v>2.222</v>
      </c>
      <c r="W19" s="32">
        <f t="shared" si="10"/>
        <v>2.222</v>
      </c>
      <c r="X19" s="32">
        <f t="shared" si="11"/>
        <v>2.222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f t="shared" si="12"/>
        <v>13.331999999999999</v>
      </c>
      <c r="AF19" s="32">
        <f>Q19-AE19</f>
        <v>40.001333333333335</v>
      </c>
      <c r="AH19" s="32">
        <f>F19/P19*24</f>
        <v>53.333333333333336</v>
      </c>
    </row>
    <row r="20" spans="1:199" s="22" customFormat="1" x14ac:dyDescent="0.2">
      <c r="A20" s="29">
        <v>40544</v>
      </c>
      <c r="B20" s="29" t="s">
        <v>257</v>
      </c>
      <c r="C20" s="13" t="s">
        <v>264</v>
      </c>
      <c r="D20" s="48">
        <v>0.33329999999999999</v>
      </c>
      <c r="E20" s="52">
        <v>40544</v>
      </c>
      <c r="F20" s="53">
        <v>230</v>
      </c>
      <c r="G20" s="55">
        <v>107</v>
      </c>
      <c r="H20" s="32">
        <f t="shared" si="0"/>
        <v>683.54274999999996</v>
      </c>
      <c r="I20" s="31">
        <f t="shared" si="1"/>
        <v>-453.54274999999996</v>
      </c>
      <c r="J20" s="33">
        <v>112.72199999999999</v>
      </c>
      <c r="K20" s="33">
        <v>112.79</v>
      </c>
      <c r="L20" s="33">
        <f t="shared" si="2"/>
        <v>0.99939710967284323</v>
      </c>
      <c r="M20" s="32">
        <f t="shared" si="3"/>
        <v>-453.26931346307288</v>
      </c>
      <c r="N20" s="33">
        <f t="shared" si="4"/>
        <v>0.99939710967284323</v>
      </c>
      <c r="O20" s="32">
        <f t="shared" si="5"/>
        <v>-453.26931346307288</v>
      </c>
      <c r="P20" s="34">
        <v>36</v>
      </c>
      <c r="Q20" s="32">
        <f>F20/P20*24</f>
        <v>153.33333333333334</v>
      </c>
      <c r="R20" s="34">
        <v>24</v>
      </c>
      <c r="S20" s="32">
        <f t="shared" si="6"/>
        <v>6.3882499999999993</v>
      </c>
      <c r="T20" s="32">
        <f t="shared" si="7"/>
        <v>6.3882499999999993</v>
      </c>
      <c r="U20" s="32">
        <f t="shared" si="8"/>
        <v>6.3882499999999993</v>
      </c>
      <c r="V20" s="32">
        <f t="shared" si="9"/>
        <v>6.3882499999999993</v>
      </c>
      <c r="W20" s="32">
        <f t="shared" si="10"/>
        <v>6.3882499999999993</v>
      </c>
      <c r="X20" s="32">
        <f t="shared" si="11"/>
        <v>6.3882499999999993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f t="shared" si="12"/>
        <v>38.329499999999996</v>
      </c>
      <c r="AF20" s="32">
        <f>Q20-AE20</f>
        <v>115.00383333333335</v>
      </c>
      <c r="AH20" s="32">
        <f>F20/P20*24</f>
        <v>153.33333333333334</v>
      </c>
    </row>
    <row r="21" spans="1:199" x14ac:dyDescent="0.2">
      <c r="A21" s="30"/>
      <c r="B21" s="41" t="s">
        <v>364</v>
      </c>
      <c r="C21" s="41" t="s">
        <v>27</v>
      </c>
      <c r="D21" s="42"/>
      <c r="E21" s="30"/>
      <c r="F21" s="2"/>
      <c r="G21" s="7"/>
      <c r="H21" s="4"/>
      <c r="I21" s="3"/>
      <c r="J21" s="5"/>
      <c r="K21" s="5"/>
      <c r="L21" s="5"/>
      <c r="M21" s="4"/>
      <c r="N21" s="5"/>
      <c r="O21" s="4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22"/>
      <c r="AH21" s="6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</row>
    <row r="22" spans="1:199" s="22" customFormat="1" x14ac:dyDescent="0.2">
      <c r="A22" s="29"/>
      <c r="B22" s="41" t="s">
        <v>365</v>
      </c>
      <c r="C22" s="47"/>
      <c r="D22" s="42"/>
      <c r="E22" s="29"/>
      <c r="F22" s="18"/>
      <c r="G22" s="24"/>
      <c r="H22" s="20"/>
      <c r="I22" s="19"/>
      <c r="J22" s="21"/>
      <c r="K22" s="21"/>
      <c r="L22" s="21"/>
      <c r="M22" s="20"/>
      <c r="N22" s="21"/>
      <c r="O22" s="20"/>
      <c r="P22" s="8"/>
      <c r="Q22" s="8"/>
      <c r="R22" s="8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H22" s="8"/>
    </row>
    <row r="23" spans="1:199" s="68" customFormat="1" x14ac:dyDescent="0.2">
      <c r="A23" s="60">
        <v>40544</v>
      </c>
      <c r="B23" s="61" t="s">
        <v>373</v>
      </c>
      <c r="C23" s="61" t="s">
        <v>287</v>
      </c>
      <c r="D23" s="62">
        <v>0.33329999999999999</v>
      </c>
      <c r="E23" s="60">
        <v>40544</v>
      </c>
      <c r="F23" s="69">
        <v>869</v>
      </c>
      <c r="G23" s="63">
        <v>35</v>
      </c>
      <c r="H23" s="64">
        <f>((F23*D23)/12)*G23</f>
        <v>844.77662500000008</v>
      </c>
      <c r="I23" s="65">
        <f>F23-H23</f>
        <v>24.223374999999919</v>
      </c>
      <c r="J23" s="66">
        <v>112.72199999999999</v>
      </c>
      <c r="K23" s="66">
        <v>112.79</v>
      </c>
      <c r="L23" s="66">
        <f>J23/K23</f>
        <v>0.99939710967284323</v>
      </c>
      <c r="M23" s="64">
        <f>I23*L23</f>
        <v>24.208770961521328</v>
      </c>
      <c r="N23" s="66">
        <f>112.722/K23</f>
        <v>0.99939710967284323</v>
      </c>
      <c r="O23" s="64">
        <f>I23*L23</f>
        <v>24.208770961521328</v>
      </c>
      <c r="P23" s="67">
        <v>36</v>
      </c>
      <c r="Q23" s="67"/>
      <c r="R23" s="67"/>
      <c r="S23" s="64">
        <f>(D23*F23)/12</f>
        <v>24.136475000000001</v>
      </c>
      <c r="T23" s="64">
        <f>(($F23*D23)/12)</f>
        <v>24.136475000000001</v>
      </c>
      <c r="U23" s="64">
        <f>(($F23*D23)/12)</f>
        <v>24.136475000000001</v>
      </c>
      <c r="V23" s="64">
        <f>(($F23*D23)/12)</f>
        <v>24.136475000000001</v>
      </c>
      <c r="W23" s="64">
        <f>(($F23*D23)/12)</f>
        <v>24.136475000000001</v>
      </c>
      <c r="X23" s="64">
        <f>(($F23*D23)/12)</f>
        <v>24.136475000000001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1</v>
      </c>
      <c r="AH23" s="67"/>
    </row>
    <row r="24" spans="1:199" s="23" customFormat="1" x14ac:dyDescent="0.2">
      <c r="A24" s="29">
        <v>41277</v>
      </c>
      <c r="B24" s="13" t="s">
        <v>373</v>
      </c>
      <c r="C24" s="13" t="s">
        <v>288</v>
      </c>
      <c r="D24" s="48">
        <v>0.33329999999999999</v>
      </c>
      <c r="E24" s="29">
        <v>41277</v>
      </c>
      <c r="F24" s="18">
        <v>775</v>
      </c>
      <c r="G24" s="55">
        <v>12</v>
      </c>
      <c r="H24" s="32">
        <f>((F24*D24)/12)*G24</f>
        <v>258.3075</v>
      </c>
      <c r="I24" s="31">
        <f>F24-H24</f>
        <v>516.6925</v>
      </c>
      <c r="J24" s="33">
        <v>112.72199999999999</v>
      </c>
      <c r="K24" s="33">
        <v>112.79</v>
      </c>
      <c r="L24" s="33">
        <f>J24/K24</f>
        <v>0.99939710967284323</v>
      </c>
      <c r="M24" s="32">
        <f>I24*L24</f>
        <v>516.38099108963559</v>
      </c>
      <c r="N24" s="33">
        <f>112.722/K24</f>
        <v>0.99939710967284323</v>
      </c>
      <c r="O24" s="32">
        <f>I24*L24</f>
        <v>516.38099108963559</v>
      </c>
      <c r="P24" s="34">
        <v>36</v>
      </c>
      <c r="Q24" s="34"/>
      <c r="R24" s="34"/>
      <c r="S24" s="32">
        <f>(D24*F24)/12</f>
        <v>21.525625000000002</v>
      </c>
      <c r="T24" s="32">
        <f>(($F24*D24)/12)</f>
        <v>21.525625000000002</v>
      </c>
      <c r="U24" s="32">
        <f>(($F24*D24)/12)</f>
        <v>21.525625000000002</v>
      </c>
      <c r="V24" s="32">
        <f>(($F24*D24)/12)</f>
        <v>21.525625000000002</v>
      </c>
      <c r="W24" s="32">
        <f>(($F24*D24)/12)</f>
        <v>21.525625000000002</v>
      </c>
      <c r="X24" s="32">
        <f>(($F24*D24)/12)</f>
        <v>21.525625000000002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f>SUM(S24:AD24)</f>
        <v>129.15375</v>
      </c>
      <c r="AF24" s="32">
        <f>I24-AE24</f>
        <v>387.53874999999999</v>
      </c>
      <c r="AG24" s="22"/>
      <c r="AH24" s="34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</row>
    <row r="25" spans="1:199" s="23" customFormat="1" x14ac:dyDescent="0.2">
      <c r="A25" s="29">
        <v>41275</v>
      </c>
      <c r="B25" s="13" t="s">
        <v>373</v>
      </c>
      <c r="C25" s="13" t="s">
        <v>289</v>
      </c>
      <c r="D25" s="48">
        <v>0.33329999999999999</v>
      </c>
      <c r="E25" s="29">
        <v>41275</v>
      </c>
      <c r="F25" s="18">
        <v>890</v>
      </c>
      <c r="G25" s="55">
        <v>12</v>
      </c>
      <c r="H25" s="32">
        <f>((F25*D25)/12)*G25</f>
        <v>296.637</v>
      </c>
      <c r="I25" s="31">
        <f>F25-H25</f>
        <v>593.36300000000006</v>
      </c>
      <c r="J25" s="33">
        <v>112.72199999999999</v>
      </c>
      <c r="K25" s="33">
        <v>112.79</v>
      </c>
      <c r="L25" s="33">
        <f>J25/K25</f>
        <v>0.99939710967284323</v>
      </c>
      <c r="M25" s="32">
        <f>I25*L25</f>
        <v>593.00526718680737</v>
      </c>
      <c r="N25" s="33">
        <f>112.722/K25</f>
        <v>0.99939710967284323</v>
      </c>
      <c r="O25" s="32">
        <f>I25*L25</f>
        <v>593.00526718680737</v>
      </c>
      <c r="P25" s="34">
        <v>36</v>
      </c>
      <c r="Q25" s="34"/>
      <c r="R25" s="34"/>
      <c r="S25" s="32">
        <f>(D25*F25)/12</f>
        <v>24.719750000000001</v>
      </c>
      <c r="T25" s="32">
        <f>(($F25*D25)/12)</f>
        <v>24.719750000000001</v>
      </c>
      <c r="U25" s="32">
        <f>(($F25*D25)/12)</f>
        <v>24.719750000000001</v>
      </c>
      <c r="V25" s="32">
        <f>(($F25*D25)/12)</f>
        <v>24.719750000000001</v>
      </c>
      <c r="W25" s="32">
        <f>(($F25*D25)/12)</f>
        <v>24.719750000000001</v>
      </c>
      <c r="X25" s="32">
        <f>(($F25*D25)/12)</f>
        <v>24.719750000000001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f>SUM(S25:AD25)</f>
        <v>148.3185</v>
      </c>
      <c r="AF25" s="32">
        <f>I25-AE25</f>
        <v>445.04450000000008</v>
      </c>
      <c r="AG25" s="22"/>
      <c r="AH25" s="34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</row>
    <row r="26" spans="1:199" ht="13.5" x14ac:dyDescent="0.25">
      <c r="A26" s="15"/>
      <c r="B26" s="41" t="s">
        <v>68</v>
      </c>
      <c r="C26" s="41" t="s">
        <v>26</v>
      </c>
      <c r="D26" s="46"/>
      <c r="E26" s="15"/>
      <c r="F26" s="15"/>
      <c r="G26" s="43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H26" s="15"/>
    </row>
    <row r="27" spans="1:199" ht="13.5" x14ac:dyDescent="0.25">
      <c r="A27" s="15"/>
      <c r="B27" s="41" t="s">
        <v>69</v>
      </c>
      <c r="C27" s="54"/>
      <c r="D27" s="46"/>
      <c r="E27" s="15"/>
      <c r="F27" s="15"/>
      <c r="G27" s="4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H27" s="15"/>
    </row>
    <row r="28" spans="1:199" s="22" customFormat="1" x14ac:dyDescent="0.2">
      <c r="A28" s="29">
        <v>41781</v>
      </c>
      <c r="B28" s="29" t="s">
        <v>357</v>
      </c>
      <c r="C28" s="13" t="s">
        <v>26</v>
      </c>
      <c r="D28" s="48">
        <v>0.33329999999999999</v>
      </c>
      <c r="E28" s="52">
        <v>41781</v>
      </c>
      <c r="F28" s="53">
        <v>7129.36</v>
      </c>
      <c r="G28" s="55">
        <v>0</v>
      </c>
      <c r="H28" s="32">
        <f>((F28*D28)/12)*G28</f>
        <v>0</v>
      </c>
      <c r="I28" s="31">
        <f>F28-H28</f>
        <v>7129.36</v>
      </c>
      <c r="J28" s="33">
        <v>112.72199999999999</v>
      </c>
      <c r="K28" s="33">
        <v>112.79</v>
      </c>
      <c r="L28" s="33">
        <f>J28/K28</f>
        <v>0.99939710967284323</v>
      </c>
      <c r="M28" s="32">
        <f>I28*L28</f>
        <v>7125.0617778171809</v>
      </c>
      <c r="N28" s="33">
        <f>112.722/K28</f>
        <v>0.99939710967284323</v>
      </c>
      <c r="O28" s="32">
        <f>I28*L28</f>
        <v>7125.0617778171809</v>
      </c>
      <c r="P28" s="34">
        <v>120</v>
      </c>
      <c r="Q28" s="34"/>
      <c r="R28" s="34"/>
      <c r="S28" s="32">
        <f>(D28*F28)/12</f>
        <v>198.01797399999998</v>
      </c>
      <c r="T28" s="32">
        <f>(($F28*D28)/12)</f>
        <v>198.01797399999998</v>
      </c>
      <c r="U28" s="32">
        <f>(($F28*D28)/12)</f>
        <v>198.01797399999998</v>
      </c>
      <c r="V28" s="32">
        <f>(($F28*D28)/12)</f>
        <v>198.01797399999998</v>
      </c>
      <c r="W28" s="32">
        <f>(($F28*D28)/12)</f>
        <v>198.01797399999998</v>
      </c>
      <c r="X28" s="32">
        <f>(($F28*D28)/12)</f>
        <v>198.01797399999998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f>SUM(S28:AD28)</f>
        <v>1188.1078439999999</v>
      </c>
      <c r="AF28" s="32">
        <f>I28-AE28</f>
        <v>5941.2521559999996</v>
      </c>
      <c r="AH28" s="34"/>
    </row>
    <row r="29" spans="1:199" x14ac:dyDescent="0.2">
      <c r="A29" s="29"/>
      <c r="B29" s="41" t="s">
        <v>68</v>
      </c>
      <c r="C29" s="41" t="s">
        <v>94</v>
      </c>
      <c r="D29" s="48"/>
      <c r="E29" s="52"/>
      <c r="F29" s="53"/>
      <c r="G29" s="55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H29" s="46"/>
    </row>
    <row r="30" spans="1:199" x14ac:dyDescent="0.2">
      <c r="A30" s="29"/>
      <c r="B30" s="41" t="s">
        <v>86</v>
      </c>
      <c r="C30" s="13"/>
      <c r="D30" s="48"/>
      <c r="E30" s="52"/>
      <c r="F30" s="53"/>
      <c r="G30" s="55"/>
      <c r="H30" s="40"/>
      <c r="I30" s="44"/>
      <c r="J30" s="39"/>
      <c r="K30" s="39"/>
      <c r="L30" s="39"/>
      <c r="M30" s="40"/>
      <c r="N30" s="39"/>
      <c r="O30" s="40"/>
      <c r="P30" s="45"/>
      <c r="Q30" s="45"/>
      <c r="R30" s="4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H30" s="45"/>
    </row>
    <row r="31" spans="1:199" x14ac:dyDescent="0.2">
      <c r="A31" s="29">
        <v>36892</v>
      </c>
      <c r="B31" s="29" t="s">
        <v>265</v>
      </c>
      <c r="C31" s="13" t="s">
        <v>37</v>
      </c>
      <c r="D31" s="48">
        <v>0.1</v>
      </c>
      <c r="E31" s="52">
        <v>36892</v>
      </c>
      <c r="F31" s="53">
        <v>2500</v>
      </c>
      <c r="G31" s="55">
        <v>155</v>
      </c>
      <c r="H31" s="32">
        <f>((F31*D31)/12)*G31</f>
        <v>3229.1666666666665</v>
      </c>
      <c r="I31" s="31">
        <f>F31-H31</f>
        <v>-729.16666666666652</v>
      </c>
      <c r="J31" s="33">
        <v>112.72199999999999</v>
      </c>
      <c r="K31" s="33">
        <v>112.79</v>
      </c>
      <c r="L31" s="33">
        <f>J31/K31</f>
        <v>0.99939710967284323</v>
      </c>
      <c r="M31" s="32">
        <f>I31*L31</f>
        <v>-728.72705913644802</v>
      </c>
      <c r="N31" s="33">
        <f>112.722/K31</f>
        <v>0.99939710967284323</v>
      </c>
      <c r="O31" s="32">
        <f>I31*L31</f>
        <v>-728.72705913644802</v>
      </c>
      <c r="P31" s="34">
        <v>120</v>
      </c>
      <c r="Q31" s="32">
        <f>F31/P31*24</f>
        <v>500</v>
      </c>
      <c r="R31" s="34">
        <v>24</v>
      </c>
      <c r="S31" s="32">
        <f>(D31*F31)/12</f>
        <v>20.833333333333332</v>
      </c>
      <c r="T31" s="32">
        <f>(($F31*D31)/12)</f>
        <v>20.833333333333332</v>
      </c>
      <c r="U31" s="32">
        <f>(($F31*D31)/12)</f>
        <v>20.833333333333332</v>
      </c>
      <c r="V31" s="32">
        <f>(($F31*D31)/12)</f>
        <v>20.833333333333332</v>
      </c>
      <c r="W31" s="32">
        <f>(($F31*D31)/12)</f>
        <v>20.833333333333332</v>
      </c>
      <c r="X31" s="32">
        <f>(($F31*D31)/12)</f>
        <v>20.833333333333332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f>SUM(S31:AD31)</f>
        <v>124.99999999999999</v>
      </c>
      <c r="AF31" s="32">
        <f>Q31-AE31</f>
        <v>375</v>
      </c>
      <c r="AH31" s="32">
        <f>F31/P31*24</f>
        <v>500</v>
      </c>
    </row>
    <row r="32" spans="1:199" x14ac:dyDescent="0.2">
      <c r="A32" s="29">
        <v>36526</v>
      </c>
      <c r="B32" s="29" t="s">
        <v>265</v>
      </c>
      <c r="C32" s="13" t="s">
        <v>266</v>
      </c>
      <c r="D32" s="48">
        <v>0.1</v>
      </c>
      <c r="E32" s="52">
        <v>36526</v>
      </c>
      <c r="F32" s="53">
        <v>2250</v>
      </c>
      <c r="G32" s="55">
        <v>167</v>
      </c>
      <c r="H32" s="32">
        <f>((F32*D32)/12)*G32</f>
        <v>3131.25</v>
      </c>
      <c r="I32" s="31">
        <f>F32-H32</f>
        <v>-881.25</v>
      </c>
      <c r="J32" s="33">
        <v>112.72199999999999</v>
      </c>
      <c r="K32" s="33">
        <v>112.79</v>
      </c>
      <c r="L32" s="33">
        <f>J32/K32</f>
        <v>0.99939710967284323</v>
      </c>
      <c r="M32" s="32">
        <f>I32*L32</f>
        <v>-880.71870289919309</v>
      </c>
      <c r="N32" s="33">
        <f>112.722/K32</f>
        <v>0.99939710967284323</v>
      </c>
      <c r="O32" s="32">
        <f>I32*L32</f>
        <v>-880.71870289919309</v>
      </c>
      <c r="P32" s="34">
        <v>120</v>
      </c>
      <c r="Q32" s="32">
        <f>F32/P32*24</f>
        <v>450</v>
      </c>
      <c r="R32" s="34">
        <v>24</v>
      </c>
      <c r="S32" s="32">
        <f>(D32*F32)/12</f>
        <v>18.75</v>
      </c>
      <c r="T32" s="32">
        <f>(($F32*D32)/12)</f>
        <v>18.75</v>
      </c>
      <c r="U32" s="32">
        <f>(($F32*D32)/12)</f>
        <v>18.75</v>
      </c>
      <c r="V32" s="32">
        <f>(($F32*D32)/12)</f>
        <v>18.75</v>
      </c>
      <c r="W32" s="32">
        <f>(($F32*D32)/12)</f>
        <v>18.75</v>
      </c>
      <c r="X32" s="32">
        <f>(($F32*D32)/12)</f>
        <v>18.75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f>SUM(S32:AD32)</f>
        <v>112.5</v>
      </c>
      <c r="AF32" s="32">
        <f>Q32-AE32</f>
        <v>337.5</v>
      </c>
      <c r="AH32" s="32">
        <f>F32/P32*24</f>
        <v>450</v>
      </c>
    </row>
    <row r="33" spans="1:139" ht="13.5" x14ac:dyDescent="0.25">
      <c r="A33" s="15"/>
      <c r="B33" s="41" t="s">
        <v>68</v>
      </c>
      <c r="C33" s="41" t="s">
        <v>224</v>
      </c>
      <c r="D33" s="46"/>
      <c r="E33" s="15"/>
      <c r="F33" s="15"/>
      <c r="G33" s="4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H33" s="15"/>
    </row>
    <row r="34" spans="1:139" ht="13.5" x14ac:dyDescent="0.25">
      <c r="A34" s="15"/>
      <c r="B34" s="41" t="s">
        <v>223</v>
      </c>
      <c r="C34" s="54"/>
      <c r="D34" s="46"/>
      <c r="E34" s="15"/>
      <c r="F34" s="15"/>
      <c r="G34" s="4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H34" s="15"/>
    </row>
    <row r="35" spans="1:139" s="22" customFormat="1" x14ac:dyDescent="0.2">
      <c r="A35" s="29">
        <v>38718</v>
      </c>
      <c r="B35" s="29" t="s">
        <v>267</v>
      </c>
      <c r="C35" s="13" t="s">
        <v>268</v>
      </c>
      <c r="D35" s="48">
        <v>0.33329999999999999</v>
      </c>
      <c r="E35" s="52">
        <v>38718</v>
      </c>
      <c r="F35" s="18">
        <v>350</v>
      </c>
      <c r="G35" s="55">
        <v>95</v>
      </c>
      <c r="H35" s="32">
        <f>((F35*D35)/12)*G35</f>
        <v>923.51874999999995</v>
      </c>
      <c r="I35" s="31">
        <f>F35-H35</f>
        <v>-573.51874999999995</v>
      </c>
      <c r="J35" s="33">
        <v>112.72199999999999</v>
      </c>
      <c r="K35" s="33">
        <v>112.79</v>
      </c>
      <c r="L35" s="33">
        <f>J35/K35</f>
        <v>0.99939710967284323</v>
      </c>
      <c r="M35" s="32">
        <f>I35*L35</f>
        <v>-573.17298109318187</v>
      </c>
      <c r="N35" s="33">
        <f>112.722/K35</f>
        <v>0.99939710967284323</v>
      </c>
      <c r="O35" s="32">
        <f>I35*L35</f>
        <v>-573.17298109318187</v>
      </c>
      <c r="P35" s="34">
        <v>36</v>
      </c>
      <c r="Q35" s="32">
        <f>F35/P35*24</f>
        <v>233.33333333333331</v>
      </c>
      <c r="R35" s="34">
        <v>24</v>
      </c>
      <c r="S35" s="32">
        <f>(D35*F35)/12</f>
        <v>9.7212499999999995</v>
      </c>
      <c r="T35" s="32">
        <f>(($F35*D35)/12)</f>
        <v>9.7212499999999995</v>
      </c>
      <c r="U35" s="32">
        <f>(($F35*D35)/12)</f>
        <v>9.7212499999999995</v>
      </c>
      <c r="V35" s="32">
        <f>(($F35*D35)/12)</f>
        <v>9.7212499999999995</v>
      </c>
      <c r="W35" s="32">
        <f>(($F35*D35)/12)</f>
        <v>9.7212499999999995</v>
      </c>
      <c r="X35" s="32">
        <f>(($F35*D35)/12)</f>
        <v>9.7212499999999995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f>SUM(S35:AD35)</f>
        <v>58.327499999999993</v>
      </c>
      <c r="AF35" s="32">
        <f>Q35-AE35</f>
        <v>175.00583333333333</v>
      </c>
      <c r="AH35" s="32">
        <f>F35/P35*24</f>
        <v>233.33333333333331</v>
      </c>
    </row>
    <row r="36" spans="1:139" s="22" customFormat="1" x14ac:dyDescent="0.2">
      <c r="A36" s="29"/>
      <c r="B36" s="41" t="s">
        <v>74</v>
      </c>
      <c r="C36" s="41" t="s">
        <v>88</v>
      </c>
      <c r="D36" s="38"/>
      <c r="E36" s="52"/>
      <c r="F36" s="18"/>
      <c r="G36" s="24"/>
      <c r="H36" s="40"/>
      <c r="I36" s="44"/>
      <c r="J36" s="39"/>
      <c r="K36" s="39"/>
      <c r="L36" s="39"/>
      <c r="M36" s="40"/>
      <c r="N36" s="39"/>
      <c r="O36" s="40"/>
      <c r="P36" s="45"/>
      <c r="Q36" s="45"/>
      <c r="R36" s="4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H36" s="45"/>
    </row>
    <row r="37" spans="1:139" s="22" customFormat="1" x14ac:dyDescent="0.2">
      <c r="A37" s="29"/>
      <c r="B37" s="41" t="s">
        <v>81</v>
      </c>
      <c r="C37" s="13"/>
      <c r="D37" s="38"/>
      <c r="E37" s="52"/>
      <c r="F37" s="18"/>
      <c r="G37" s="24"/>
      <c r="H37" s="40"/>
      <c r="I37" s="44"/>
      <c r="J37" s="39"/>
      <c r="K37" s="39"/>
      <c r="L37" s="39"/>
      <c r="M37" s="40"/>
      <c r="N37" s="39"/>
      <c r="O37" s="40"/>
      <c r="P37" s="45"/>
      <c r="Q37" s="45"/>
      <c r="R37" s="4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H37" s="45"/>
    </row>
    <row r="38" spans="1:139" s="22" customFormat="1" x14ac:dyDescent="0.2">
      <c r="A38" s="29">
        <v>38353</v>
      </c>
      <c r="B38" s="29" t="s">
        <v>269</v>
      </c>
      <c r="C38" s="13" t="s">
        <v>76</v>
      </c>
      <c r="D38" s="38">
        <v>0.1</v>
      </c>
      <c r="E38" s="52">
        <v>38353</v>
      </c>
      <c r="F38" s="18">
        <v>170</v>
      </c>
      <c r="G38" s="55">
        <v>107</v>
      </c>
      <c r="H38" s="32">
        <f>((F38*D38)/12)*G38</f>
        <v>151.58333333333334</v>
      </c>
      <c r="I38" s="31">
        <f>F38-H38</f>
        <v>18.416666666666657</v>
      </c>
      <c r="J38" s="33">
        <v>112.72199999999999</v>
      </c>
      <c r="K38" s="33">
        <v>112.79</v>
      </c>
      <c r="L38" s="33">
        <f>J38/K38</f>
        <v>0.99939710967284323</v>
      </c>
      <c r="M38" s="32">
        <f>I38*L38</f>
        <v>18.405563436474853</v>
      </c>
      <c r="N38" s="33">
        <f>112.722/K38</f>
        <v>0.99939710967284323</v>
      </c>
      <c r="O38" s="32">
        <f>I38*L38</f>
        <v>18.405563436474853</v>
      </c>
      <c r="P38" s="34">
        <v>120</v>
      </c>
      <c r="Q38" s="34"/>
      <c r="R38" s="34"/>
      <c r="S38" s="32">
        <f>(D38*F38)/12</f>
        <v>1.4166666666666667</v>
      </c>
      <c r="T38" s="32">
        <f>(($F38*D38)/12)</f>
        <v>1.4166666666666667</v>
      </c>
      <c r="U38" s="32">
        <f>(($F38*D38)/12)</f>
        <v>1.4166666666666667</v>
      </c>
      <c r="V38" s="32">
        <f>(($F38*D38)/12)</f>
        <v>1.4166666666666667</v>
      </c>
      <c r="W38" s="32">
        <f>(($F38*D38)/12)</f>
        <v>1.4166666666666667</v>
      </c>
      <c r="X38" s="32">
        <f>(($F38*D38)/12)</f>
        <v>1.4166666666666667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f>SUM(S38:AD38)</f>
        <v>8.5</v>
      </c>
      <c r="AF38" s="32">
        <f>I38-AE38</f>
        <v>9.9166666666666572</v>
      </c>
      <c r="AH38" s="34"/>
    </row>
    <row r="39" spans="1:139" s="22" customFormat="1" x14ac:dyDescent="0.2">
      <c r="A39" s="29"/>
      <c r="B39" s="41" t="s">
        <v>68</v>
      </c>
      <c r="C39" s="41" t="s">
        <v>92</v>
      </c>
      <c r="D39" s="48"/>
      <c r="E39" s="52"/>
      <c r="F39" s="53"/>
      <c r="G39" s="55"/>
      <c r="H39" s="40"/>
      <c r="I39" s="44"/>
      <c r="J39" s="39"/>
      <c r="K39" s="39"/>
      <c r="L39" s="39"/>
      <c r="M39" s="40"/>
      <c r="N39" s="39"/>
      <c r="O39" s="40"/>
      <c r="P39" s="45"/>
      <c r="Q39" s="45"/>
      <c r="R39" s="4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H39" s="45"/>
    </row>
    <row r="40" spans="1:139" s="22" customFormat="1" x14ac:dyDescent="0.2">
      <c r="A40" s="29"/>
      <c r="B40" s="41" t="s">
        <v>87</v>
      </c>
      <c r="C40" s="13"/>
      <c r="D40" s="48"/>
      <c r="E40" s="52"/>
      <c r="F40" s="53"/>
      <c r="G40" s="55"/>
      <c r="H40" s="40"/>
      <c r="I40" s="44"/>
      <c r="J40" s="39"/>
      <c r="K40" s="39"/>
      <c r="L40" s="39"/>
      <c r="M40" s="40"/>
      <c r="N40" s="39"/>
      <c r="O40" s="40"/>
      <c r="P40" s="45"/>
      <c r="Q40" s="45"/>
      <c r="R40" s="4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H40" s="45"/>
    </row>
    <row r="41" spans="1:139" x14ac:dyDescent="0.2">
      <c r="A41" s="29">
        <v>38353</v>
      </c>
      <c r="B41" s="29" t="s">
        <v>270</v>
      </c>
      <c r="C41" s="13" t="s">
        <v>271</v>
      </c>
      <c r="D41" s="48">
        <v>0.1</v>
      </c>
      <c r="E41" s="52">
        <v>38353</v>
      </c>
      <c r="F41" s="18">
        <v>290</v>
      </c>
      <c r="G41" s="55">
        <v>107</v>
      </c>
      <c r="H41" s="32">
        <f>((F41*D41)/12)*G41</f>
        <v>258.58333333333331</v>
      </c>
      <c r="I41" s="31">
        <f>F41-H41</f>
        <v>31.416666666666686</v>
      </c>
      <c r="J41" s="33">
        <v>112.72199999999999</v>
      </c>
      <c r="K41" s="33">
        <v>112.79</v>
      </c>
      <c r="L41" s="33">
        <f>J41/K41</f>
        <v>0.99939710967284323</v>
      </c>
      <c r="M41" s="32">
        <f>I41*L41</f>
        <v>31.397725862221844</v>
      </c>
      <c r="N41" s="33">
        <f>112.722/K41</f>
        <v>0.99939710967284323</v>
      </c>
      <c r="O41" s="32">
        <f>I41*L41</f>
        <v>31.397725862221844</v>
      </c>
      <c r="P41" s="34">
        <v>120</v>
      </c>
      <c r="Q41" s="34"/>
      <c r="R41" s="34"/>
      <c r="S41" s="32">
        <f>(D41*F41)/12</f>
        <v>2.4166666666666665</v>
      </c>
      <c r="T41" s="32">
        <f>(($F41*D41)/12)</f>
        <v>2.4166666666666665</v>
      </c>
      <c r="U41" s="32">
        <f>(($F41*D41)/12)</f>
        <v>2.4166666666666665</v>
      </c>
      <c r="V41" s="32">
        <f>(($F41*D41)/12)</f>
        <v>2.4166666666666665</v>
      </c>
      <c r="W41" s="32">
        <f>(($F41*D41)/12)</f>
        <v>2.4166666666666665</v>
      </c>
      <c r="X41" s="32">
        <f>(($F41*D41)/12)</f>
        <v>2.4166666666666665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f>SUM(S41:AD41)</f>
        <v>14.499999999999998</v>
      </c>
      <c r="AF41" s="32">
        <f>I41-AE41</f>
        <v>16.916666666666686</v>
      </c>
      <c r="AG41" s="22"/>
      <c r="AH41" s="34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</row>
    <row r="42" spans="1:139" s="22" customFormat="1" x14ac:dyDescent="0.2">
      <c r="A42" s="29"/>
      <c r="B42" s="41" t="s">
        <v>74</v>
      </c>
      <c r="C42" s="41" t="s">
        <v>273</v>
      </c>
      <c r="D42" s="38"/>
      <c r="E42" s="52"/>
      <c r="F42" s="18"/>
      <c r="G42" s="24"/>
      <c r="H42" s="40"/>
      <c r="I42" s="44"/>
      <c r="J42" s="39"/>
      <c r="K42" s="39"/>
      <c r="L42" s="39"/>
      <c r="M42" s="40"/>
      <c r="N42" s="39"/>
      <c r="O42" s="40"/>
      <c r="P42" s="45"/>
      <c r="Q42" s="45"/>
      <c r="R42" s="4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H42" s="45"/>
    </row>
    <row r="43" spans="1:139" s="22" customFormat="1" x14ac:dyDescent="0.2">
      <c r="A43" s="29"/>
      <c r="B43" s="41" t="s">
        <v>121</v>
      </c>
      <c r="C43" s="13"/>
      <c r="D43" s="38"/>
      <c r="E43" s="52"/>
      <c r="F43" s="18"/>
      <c r="G43" s="24"/>
      <c r="H43" s="40"/>
      <c r="I43" s="44"/>
      <c r="J43" s="39"/>
      <c r="K43" s="39"/>
      <c r="L43" s="39"/>
      <c r="M43" s="40"/>
      <c r="N43" s="39"/>
      <c r="O43" s="40"/>
      <c r="P43" s="45"/>
      <c r="Q43" s="45"/>
      <c r="R43" s="45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H43" s="45"/>
    </row>
    <row r="44" spans="1:139" s="22" customFormat="1" x14ac:dyDescent="0.2">
      <c r="A44" s="29">
        <v>38353</v>
      </c>
      <c r="B44" s="29" t="s">
        <v>274</v>
      </c>
      <c r="C44" s="13" t="s">
        <v>275</v>
      </c>
      <c r="D44" s="48">
        <v>0.1</v>
      </c>
      <c r="E44" s="52">
        <v>38353</v>
      </c>
      <c r="F44" s="18">
        <v>2390</v>
      </c>
      <c r="G44" s="55">
        <v>107</v>
      </c>
      <c r="H44" s="32">
        <f>((F44*D44)/12)*G44</f>
        <v>2131.0833333333335</v>
      </c>
      <c r="I44" s="31">
        <f>F44-H44</f>
        <v>258.91666666666652</v>
      </c>
      <c r="J44" s="33">
        <v>112.72199999999999</v>
      </c>
      <c r="K44" s="33">
        <v>112.79</v>
      </c>
      <c r="L44" s="33">
        <f>J44/K44</f>
        <v>0.99939710967284323</v>
      </c>
      <c r="M44" s="32">
        <f>I44*L44</f>
        <v>258.76056831279351</v>
      </c>
      <c r="N44" s="33">
        <f>112.722/K44</f>
        <v>0.99939710967284323</v>
      </c>
      <c r="O44" s="32">
        <f>I44*L44</f>
        <v>258.76056831279351</v>
      </c>
      <c r="P44" s="34">
        <v>120</v>
      </c>
      <c r="Q44" s="34"/>
      <c r="R44" s="34"/>
      <c r="S44" s="32">
        <f>(D44*F44)/12</f>
        <v>19.916666666666668</v>
      </c>
      <c r="T44" s="32">
        <f>(($F44*D44)/12)</f>
        <v>19.916666666666668</v>
      </c>
      <c r="U44" s="32">
        <f>(($F44*D44)/12)</f>
        <v>19.916666666666668</v>
      </c>
      <c r="V44" s="32">
        <f>(($F44*D44)/12)</f>
        <v>19.916666666666668</v>
      </c>
      <c r="W44" s="32">
        <f>(($F44*D44)/12)</f>
        <v>19.916666666666668</v>
      </c>
      <c r="X44" s="32">
        <f>(($F44*D44)/12)</f>
        <v>19.916666666666668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f>SUM(S44:AD44)</f>
        <v>119.50000000000001</v>
      </c>
      <c r="AF44" s="32">
        <f>I44-AE44</f>
        <v>139.41666666666652</v>
      </c>
      <c r="AH44" s="34"/>
    </row>
    <row r="45" spans="1:139" s="22" customFormat="1" x14ac:dyDescent="0.2">
      <c r="A45" s="29"/>
      <c r="B45" s="41" t="s">
        <v>74</v>
      </c>
      <c r="C45" s="41" t="s">
        <v>89</v>
      </c>
      <c r="D45" s="38"/>
      <c r="E45" s="52"/>
      <c r="F45" s="18"/>
      <c r="G45" s="55"/>
      <c r="H45" s="40"/>
      <c r="I45" s="44"/>
      <c r="J45" s="39"/>
      <c r="K45" s="39"/>
      <c r="L45" s="39"/>
      <c r="M45" s="40"/>
      <c r="N45" s="39"/>
      <c r="O45" s="40"/>
      <c r="P45" s="45"/>
      <c r="Q45" s="45"/>
      <c r="R45" s="45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H45" s="45"/>
    </row>
    <row r="46" spans="1:139" s="22" customFormat="1" x14ac:dyDescent="0.2">
      <c r="A46" s="29"/>
      <c r="B46" s="41" t="s">
        <v>102</v>
      </c>
      <c r="C46" s="13"/>
      <c r="D46" s="38"/>
      <c r="E46" s="52"/>
      <c r="F46" s="18"/>
      <c r="G46" s="55"/>
      <c r="H46" s="40"/>
      <c r="I46" s="44"/>
      <c r="J46" s="39"/>
      <c r="K46" s="39"/>
      <c r="L46" s="39"/>
      <c r="M46" s="40"/>
      <c r="N46" s="39"/>
      <c r="O46" s="40"/>
      <c r="P46" s="45"/>
      <c r="Q46" s="45"/>
      <c r="R46" s="45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H46" s="45"/>
    </row>
    <row r="47" spans="1:139" s="22" customFormat="1" x14ac:dyDescent="0.2">
      <c r="A47" s="29">
        <v>38353</v>
      </c>
      <c r="B47" s="29" t="s">
        <v>276</v>
      </c>
      <c r="C47" s="13" t="s">
        <v>277</v>
      </c>
      <c r="D47" s="38">
        <v>0.1</v>
      </c>
      <c r="E47" s="52">
        <v>38353</v>
      </c>
      <c r="F47" s="18">
        <v>4493</v>
      </c>
      <c r="G47" s="55">
        <v>107</v>
      </c>
      <c r="H47" s="32">
        <f>((F47*D47)/12)*G47</f>
        <v>4006.2583333333337</v>
      </c>
      <c r="I47" s="31">
        <f>F47-H47</f>
        <v>486.74166666666633</v>
      </c>
      <c r="J47" s="33">
        <v>112.72199999999999</v>
      </c>
      <c r="K47" s="33">
        <v>112.79</v>
      </c>
      <c r="L47" s="33">
        <f>J47/K47</f>
        <v>0.99939710967284323</v>
      </c>
      <c r="M47" s="32">
        <f>I47*L47</f>
        <v>486.44821482400886</v>
      </c>
      <c r="N47" s="33">
        <f>112.722/K47</f>
        <v>0.99939710967284323</v>
      </c>
      <c r="O47" s="32">
        <f>I47*L47</f>
        <v>486.44821482400886</v>
      </c>
      <c r="P47" s="34">
        <v>120</v>
      </c>
      <c r="Q47" s="34"/>
      <c r="R47" s="34"/>
      <c r="S47" s="32">
        <f>(D47*F47)/12</f>
        <v>37.44166666666667</v>
      </c>
      <c r="T47" s="32">
        <f>(($F47*D47)/12)</f>
        <v>37.44166666666667</v>
      </c>
      <c r="U47" s="32">
        <f>(($F47*D47)/12)</f>
        <v>37.44166666666667</v>
      </c>
      <c r="V47" s="32">
        <f>(($F47*D47)/12)</f>
        <v>37.44166666666667</v>
      </c>
      <c r="W47" s="32">
        <f>(($F47*D47)/12)</f>
        <v>37.44166666666667</v>
      </c>
      <c r="X47" s="32">
        <f>(($F47*D47)/12)</f>
        <v>37.44166666666667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f>SUM(S47:AD47)</f>
        <v>224.65</v>
      </c>
      <c r="AF47" s="32">
        <f>I47-AE47</f>
        <v>262.09166666666636</v>
      </c>
      <c r="AH47" s="34"/>
    </row>
    <row r="48" spans="1:139" s="22" customFormat="1" x14ac:dyDescent="0.2">
      <c r="A48" s="29">
        <v>36892</v>
      </c>
      <c r="B48" s="29" t="s">
        <v>276</v>
      </c>
      <c r="C48" s="13" t="s">
        <v>278</v>
      </c>
      <c r="D48" s="38">
        <v>0.1</v>
      </c>
      <c r="E48" s="52">
        <v>36892</v>
      </c>
      <c r="F48" s="18">
        <v>5590</v>
      </c>
      <c r="G48" s="55">
        <v>107</v>
      </c>
      <c r="H48" s="32">
        <f>((F48*D48)/12)*G48</f>
        <v>4984.416666666667</v>
      </c>
      <c r="I48" s="31">
        <f>F48-H48</f>
        <v>605.58333333333303</v>
      </c>
      <c r="J48" s="33">
        <v>112.72199999999999</v>
      </c>
      <c r="K48" s="33">
        <v>112.79</v>
      </c>
      <c r="L48" s="33">
        <f>J48/K48</f>
        <v>0.99939710967284323</v>
      </c>
      <c r="M48" s="32">
        <f>I48*L48</f>
        <v>605.21823299937898</v>
      </c>
      <c r="N48" s="33">
        <f>112.722/K48</f>
        <v>0.99939710967284323</v>
      </c>
      <c r="O48" s="32">
        <f>I48*L48</f>
        <v>605.21823299937898</v>
      </c>
      <c r="P48" s="34">
        <v>120</v>
      </c>
      <c r="Q48" s="34"/>
      <c r="R48" s="34"/>
      <c r="S48" s="32">
        <f>(D48*F48)/12</f>
        <v>46.583333333333336</v>
      </c>
      <c r="T48" s="32">
        <f>(($F48*D48)/12)</f>
        <v>46.583333333333336</v>
      </c>
      <c r="U48" s="32">
        <f>(($F48*D48)/12)</f>
        <v>46.583333333333336</v>
      </c>
      <c r="V48" s="32">
        <f>(($F48*D48)/12)</f>
        <v>46.583333333333336</v>
      </c>
      <c r="W48" s="32">
        <f>(($F48*D48)/12)</f>
        <v>46.583333333333336</v>
      </c>
      <c r="X48" s="32">
        <f>(($F48*D48)/12)</f>
        <v>46.583333333333336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f>SUM(S48:AD48)</f>
        <v>279.5</v>
      </c>
      <c r="AF48" s="32">
        <f>I48-AE48</f>
        <v>326.08333333333303</v>
      </c>
      <c r="AH48" s="34"/>
    </row>
    <row r="49" spans="1:199" s="22" customFormat="1" x14ac:dyDescent="0.2">
      <c r="A49" s="29"/>
      <c r="B49" s="41" t="s">
        <v>68</v>
      </c>
      <c r="C49" s="41" t="s">
        <v>101</v>
      </c>
      <c r="D49" s="38"/>
      <c r="E49" s="29"/>
      <c r="F49" s="18"/>
      <c r="G49" s="24"/>
      <c r="H49" s="40"/>
      <c r="I49" s="44"/>
      <c r="J49" s="39"/>
      <c r="K49" s="39"/>
      <c r="L49" s="39"/>
      <c r="M49" s="40"/>
      <c r="N49" s="39"/>
      <c r="O49" s="40"/>
      <c r="P49" s="45"/>
      <c r="Q49" s="45"/>
      <c r="R49" s="45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H49" s="45"/>
    </row>
    <row r="50" spans="1:199" s="22" customFormat="1" x14ac:dyDescent="0.2">
      <c r="A50" s="29"/>
      <c r="B50" s="41" t="s">
        <v>103</v>
      </c>
      <c r="C50" s="13"/>
      <c r="D50" s="38"/>
      <c r="E50" s="29"/>
      <c r="F50" s="18"/>
      <c r="G50" s="24"/>
      <c r="H50" s="40"/>
      <c r="I50" s="44"/>
      <c r="J50" s="39"/>
      <c r="K50" s="39"/>
      <c r="L50" s="39"/>
      <c r="M50" s="40"/>
      <c r="N50" s="39"/>
      <c r="O50" s="40"/>
      <c r="P50" s="45"/>
      <c r="Q50" s="45"/>
      <c r="R50" s="45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H50" s="45"/>
    </row>
    <row r="51" spans="1:199" s="23" customFormat="1" x14ac:dyDescent="0.2">
      <c r="A51" s="29">
        <v>40823</v>
      </c>
      <c r="B51" s="29" t="s">
        <v>279</v>
      </c>
      <c r="C51" s="13" t="s">
        <v>280</v>
      </c>
      <c r="D51" s="48">
        <v>0.33329999999999999</v>
      </c>
      <c r="E51" s="29">
        <v>40823</v>
      </c>
      <c r="F51" s="18">
        <v>1500</v>
      </c>
      <c r="G51" s="55">
        <v>26</v>
      </c>
      <c r="H51" s="32">
        <f>((F51*D51)/12)*G51</f>
        <v>1083.2250000000001</v>
      </c>
      <c r="I51" s="31">
        <f>F51-H51</f>
        <v>416.77499999999986</v>
      </c>
      <c r="J51" s="33">
        <v>112.72199999999999</v>
      </c>
      <c r="K51" s="33">
        <v>112.79</v>
      </c>
      <c r="L51" s="33">
        <f>J51/K51</f>
        <v>0.99939710967284323</v>
      </c>
      <c r="M51" s="32">
        <f>I51*L51</f>
        <v>416.52373038389908</v>
      </c>
      <c r="N51" s="33">
        <f>112.722/K51</f>
        <v>0.99939710967284323</v>
      </c>
      <c r="O51" s="32">
        <f>I51*L51</f>
        <v>416.52373038389908</v>
      </c>
      <c r="P51" s="34">
        <v>36</v>
      </c>
      <c r="Q51" s="34"/>
      <c r="R51" s="34"/>
      <c r="S51" s="32">
        <f>(D51*F51)/12</f>
        <v>41.662500000000001</v>
      </c>
      <c r="T51" s="32">
        <f>(($F51*D51)/12)</f>
        <v>41.662500000000001</v>
      </c>
      <c r="U51" s="32">
        <f>(($F51*D51)/12)</f>
        <v>41.662500000000001</v>
      </c>
      <c r="V51" s="32">
        <f>(($F51*D51)/12)</f>
        <v>41.662500000000001</v>
      </c>
      <c r="W51" s="32">
        <f>(($F51*D51)/12)</f>
        <v>41.662500000000001</v>
      </c>
      <c r="X51" s="32">
        <f>(($F51*D51)/12)</f>
        <v>41.662500000000001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f>SUM(S51:AD51)</f>
        <v>249.97499999999999</v>
      </c>
      <c r="AF51" s="32">
        <f>I51-AE51</f>
        <v>166.79999999999987</v>
      </c>
      <c r="AG51" s="22"/>
      <c r="AH51" s="34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</row>
    <row r="52" spans="1:199" ht="13.5" x14ac:dyDescent="0.25">
      <c r="A52" s="15"/>
      <c r="B52" s="41" t="s">
        <v>68</v>
      </c>
      <c r="C52" s="41" t="s">
        <v>93</v>
      </c>
      <c r="D52" s="46"/>
      <c r="E52" s="15"/>
      <c r="F52" s="15"/>
      <c r="G52" s="43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H52" s="15"/>
    </row>
    <row r="53" spans="1:199" ht="13.5" x14ac:dyDescent="0.25">
      <c r="A53" s="15"/>
      <c r="B53" s="41" t="s">
        <v>238</v>
      </c>
      <c r="C53" s="54"/>
      <c r="D53" s="46"/>
      <c r="E53" s="15"/>
      <c r="F53" s="15"/>
      <c r="G53" s="43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H53" s="15"/>
    </row>
    <row r="54" spans="1:199" s="22" customFormat="1" x14ac:dyDescent="0.2">
      <c r="A54" s="29">
        <v>37987</v>
      </c>
      <c r="B54" s="29" t="s">
        <v>281</v>
      </c>
      <c r="C54" s="13" t="s">
        <v>282</v>
      </c>
      <c r="D54" s="48">
        <v>0.33329999999999999</v>
      </c>
      <c r="E54" s="52">
        <v>37987</v>
      </c>
      <c r="F54" s="53">
        <v>1150</v>
      </c>
      <c r="G54" s="55">
        <v>119</v>
      </c>
      <c r="H54" s="32">
        <f>((F54*D54)/12)*G54</f>
        <v>3801.0087499999995</v>
      </c>
      <c r="I54" s="31">
        <f>F54-H54</f>
        <v>-2651.0087499999995</v>
      </c>
      <c r="J54" s="33">
        <v>112.72199999999999</v>
      </c>
      <c r="K54" s="33">
        <v>112.79</v>
      </c>
      <c r="L54" s="33">
        <f>J54/K54</f>
        <v>0.99939710967284323</v>
      </c>
      <c r="M54" s="32">
        <f>I54*L54</f>
        <v>-2649.4104824674164</v>
      </c>
      <c r="N54" s="33">
        <f>112.722/K54</f>
        <v>0.99939710967284323</v>
      </c>
      <c r="O54" s="32">
        <f>I54*L54</f>
        <v>-2649.4104824674164</v>
      </c>
      <c r="P54" s="34">
        <v>36</v>
      </c>
      <c r="Q54" s="32">
        <f>F54/P54*24</f>
        <v>766.66666666666663</v>
      </c>
      <c r="R54" s="34">
        <v>24</v>
      </c>
      <c r="S54" s="32">
        <f>(D54*F54)/12</f>
        <v>31.941249999999997</v>
      </c>
      <c r="T54" s="32">
        <f>(($F54*D54)/12)</f>
        <v>31.941249999999997</v>
      </c>
      <c r="U54" s="32">
        <f>(($F54*D54)/12)</f>
        <v>31.941249999999997</v>
      </c>
      <c r="V54" s="32">
        <f>(($F54*D54)/12)</f>
        <v>31.941249999999997</v>
      </c>
      <c r="W54" s="32">
        <f>(($F54*D54)/12)</f>
        <v>31.941249999999997</v>
      </c>
      <c r="X54" s="32">
        <f>(($F54*D54)/12)</f>
        <v>31.941249999999997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f>SUM(S54:AD54)</f>
        <v>191.64749999999998</v>
      </c>
      <c r="AF54" s="32">
        <f>Q54-AE54</f>
        <v>575.01916666666671</v>
      </c>
      <c r="AH54" s="32">
        <f>F54/P54*24</f>
        <v>766.66666666666663</v>
      </c>
    </row>
    <row r="55" spans="1:199" s="22" customFormat="1" x14ac:dyDescent="0.2">
      <c r="A55" s="29">
        <v>41702</v>
      </c>
      <c r="B55" s="29" t="s">
        <v>281</v>
      </c>
      <c r="C55" s="13" t="s">
        <v>330</v>
      </c>
      <c r="D55" s="48">
        <v>0.33329999999999999</v>
      </c>
      <c r="E55" s="52">
        <v>41702</v>
      </c>
      <c r="F55" s="53">
        <v>6722.2</v>
      </c>
      <c r="G55" s="55">
        <v>0</v>
      </c>
      <c r="H55" s="32">
        <f>((F55*D55)/12)*G55</f>
        <v>0</v>
      </c>
      <c r="I55" s="31">
        <f>F55-H55</f>
        <v>6722.2</v>
      </c>
      <c r="J55" s="33">
        <v>112.72199999999999</v>
      </c>
      <c r="K55" s="33">
        <v>112.79</v>
      </c>
      <c r="L55" s="33">
        <f>J55/K55</f>
        <v>0.99939710967284323</v>
      </c>
      <c r="M55" s="32">
        <f>I55*L55</f>
        <v>6718.1472506427863</v>
      </c>
      <c r="N55" s="33">
        <f>112.722/K55</f>
        <v>0.99939710967284323</v>
      </c>
      <c r="O55" s="32">
        <f>I55*L55</f>
        <v>6718.1472506427863</v>
      </c>
      <c r="P55" s="34">
        <v>36</v>
      </c>
      <c r="Q55" s="34"/>
      <c r="R55" s="34"/>
      <c r="S55" s="32">
        <f>(D55*F55)/12</f>
        <v>186.70910499999999</v>
      </c>
      <c r="T55" s="32">
        <f>(($F55*D55)/12)</f>
        <v>186.70910499999999</v>
      </c>
      <c r="U55" s="32">
        <f>(($F55*D55)/12)</f>
        <v>186.70910499999999</v>
      </c>
      <c r="V55" s="32">
        <f>(($F55*D55)/12)</f>
        <v>186.70910499999999</v>
      </c>
      <c r="W55" s="32">
        <f>(($F55*D55)/12)</f>
        <v>186.70910499999999</v>
      </c>
      <c r="X55" s="32">
        <f>(($F55*D55)/12)</f>
        <v>186.70910499999999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f>SUM(S55:AD55)</f>
        <v>1120.2546299999999</v>
      </c>
      <c r="AF55" s="32">
        <f>I55-AE55</f>
        <v>5601.9453699999995</v>
      </c>
      <c r="AH55" s="34"/>
    </row>
    <row r="56" spans="1:199" s="22" customFormat="1" x14ac:dyDescent="0.2">
      <c r="A56" s="29"/>
      <c r="B56" s="41" t="s">
        <v>74</v>
      </c>
      <c r="C56" s="41" t="s">
        <v>284</v>
      </c>
      <c r="D56" s="38"/>
      <c r="E56" s="52"/>
      <c r="F56" s="18"/>
      <c r="G56" s="24"/>
      <c r="H56" s="40"/>
      <c r="I56" s="44"/>
      <c r="J56" s="39"/>
      <c r="K56" s="39"/>
      <c r="L56" s="39"/>
      <c r="M56" s="40"/>
      <c r="N56" s="39"/>
      <c r="O56" s="40"/>
      <c r="P56" s="45"/>
      <c r="Q56" s="45"/>
      <c r="R56" s="45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H56" s="45"/>
    </row>
    <row r="57" spans="1:199" s="22" customFormat="1" x14ac:dyDescent="0.2">
      <c r="A57" s="29"/>
      <c r="B57" s="41" t="s">
        <v>283</v>
      </c>
      <c r="C57" s="13"/>
      <c r="D57" s="38"/>
      <c r="E57" s="52"/>
      <c r="F57" s="18"/>
      <c r="G57" s="24"/>
      <c r="H57" s="40"/>
      <c r="I57" s="44"/>
      <c r="J57" s="39"/>
      <c r="K57" s="39"/>
      <c r="L57" s="39"/>
      <c r="M57" s="40"/>
      <c r="N57" s="39"/>
      <c r="O57" s="40"/>
      <c r="P57" s="45"/>
      <c r="Q57" s="45"/>
      <c r="R57" s="45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H57" s="45"/>
    </row>
    <row r="58" spans="1:199" s="22" customFormat="1" x14ac:dyDescent="0.2">
      <c r="A58" s="29">
        <v>38353</v>
      </c>
      <c r="B58" s="29" t="s">
        <v>285</v>
      </c>
      <c r="C58" s="13" t="s">
        <v>286</v>
      </c>
      <c r="D58" s="48">
        <v>0.1</v>
      </c>
      <c r="E58" s="52">
        <v>38353</v>
      </c>
      <c r="F58" s="18">
        <v>2999</v>
      </c>
      <c r="G58" s="55">
        <v>107</v>
      </c>
      <c r="H58" s="32">
        <f>((F58*D58)/12)*G58</f>
        <v>2674.1083333333336</v>
      </c>
      <c r="I58" s="31">
        <f>F58-H58</f>
        <v>324.89166666666642</v>
      </c>
      <c r="J58" s="33">
        <v>112.72199999999999</v>
      </c>
      <c r="K58" s="33">
        <v>112.79</v>
      </c>
      <c r="L58" s="33">
        <f>J58/K58</f>
        <v>0.99939710967284323</v>
      </c>
      <c r="M58" s="32">
        <f>I58*L58</f>
        <v>324.69579262345923</v>
      </c>
      <c r="N58" s="33">
        <f>112.722/K58</f>
        <v>0.99939710967284323</v>
      </c>
      <c r="O58" s="32">
        <f>I58*L58</f>
        <v>324.69579262345923</v>
      </c>
      <c r="P58" s="34">
        <v>120</v>
      </c>
      <c r="Q58" s="34"/>
      <c r="R58" s="34"/>
      <c r="S58" s="32">
        <f>(D58*F58)/12</f>
        <v>24.991666666666671</v>
      </c>
      <c r="T58" s="32">
        <f>(($F58*D58)/12)</f>
        <v>24.991666666666671</v>
      </c>
      <c r="U58" s="32">
        <f>(($F58*D58)/12)</f>
        <v>24.991666666666671</v>
      </c>
      <c r="V58" s="32">
        <f>(($F58*D58)/12)</f>
        <v>24.991666666666671</v>
      </c>
      <c r="W58" s="32">
        <f>(($F58*D58)/12)</f>
        <v>24.991666666666671</v>
      </c>
      <c r="X58" s="32">
        <f>(($F58*D58)/12)</f>
        <v>24.991666666666671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f>SUM(S58:AD58)</f>
        <v>149.95000000000002</v>
      </c>
      <c r="AF58" s="32">
        <f>I58-AE58</f>
        <v>174.94166666666641</v>
      </c>
      <c r="AH58" s="34"/>
    </row>
    <row r="59" spans="1:199" s="22" customFormat="1" x14ac:dyDescent="0.2">
      <c r="A59" s="29">
        <v>38353</v>
      </c>
      <c r="B59" s="29" t="s">
        <v>285</v>
      </c>
      <c r="C59" s="13" t="s">
        <v>286</v>
      </c>
      <c r="D59" s="48">
        <v>0.1</v>
      </c>
      <c r="E59" s="52">
        <v>38353</v>
      </c>
      <c r="F59" s="18">
        <v>2999</v>
      </c>
      <c r="G59" s="55">
        <v>107</v>
      </c>
      <c r="H59" s="32">
        <f>((F59*D59)/12)*G59</f>
        <v>2674.1083333333336</v>
      </c>
      <c r="I59" s="31">
        <f>F59-H59</f>
        <v>324.89166666666642</v>
      </c>
      <c r="J59" s="33">
        <v>112.72199999999999</v>
      </c>
      <c r="K59" s="33">
        <v>112.79</v>
      </c>
      <c r="L59" s="33">
        <f>J59/K59</f>
        <v>0.99939710967284323</v>
      </c>
      <c r="M59" s="32">
        <f>I59*L59</f>
        <v>324.69579262345923</v>
      </c>
      <c r="N59" s="33">
        <f>112.722/K59</f>
        <v>0.99939710967284323</v>
      </c>
      <c r="O59" s="32">
        <f>I59*L59</f>
        <v>324.69579262345923</v>
      </c>
      <c r="P59" s="34">
        <v>120</v>
      </c>
      <c r="Q59" s="34"/>
      <c r="R59" s="34"/>
      <c r="S59" s="32">
        <f>(D59*F59)/12</f>
        <v>24.991666666666671</v>
      </c>
      <c r="T59" s="32">
        <f>(($F59*D59)/12)</f>
        <v>24.991666666666671</v>
      </c>
      <c r="U59" s="32">
        <f>(($F59*D59)/12)</f>
        <v>24.991666666666671</v>
      </c>
      <c r="V59" s="32">
        <f>(($F59*D59)/12)</f>
        <v>24.991666666666671</v>
      </c>
      <c r="W59" s="32">
        <f>(($F59*D59)/12)</f>
        <v>24.991666666666671</v>
      </c>
      <c r="X59" s="32">
        <f>(($F59*D59)/12)</f>
        <v>24.991666666666671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f>SUM(S59:AD59)</f>
        <v>149.95000000000002</v>
      </c>
      <c r="AF59" s="32">
        <f>I59-AE59</f>
        <v>174.94166666666641</v>
      </c>
      <c r="AH59" s="34"/>
    </row>
    <row r="66" spans="1:139" s="22" customFormat="1" x14ac:dyDescent="0.2">
      <c r="A66" s="574" t="s">
        <v>326</v>
      </c>
      <c r="B66" s="574"/>
      <c r="C66" s="574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4"/>
      <c r="Q66" s="574"/>
      <c r="R66" s="574"/>
      <c r="S66" s="574"/>
      <c r="T66" s="574"/>
      <c r="U66" s="574"/>
      <c r="V66" s="574"/>
      <c r="W66" s="574"/>
      <c r="X66" s="574"/>
      <c r="Y66" s="574"/>
      <c r="Z66" s="574"/>
      <c r="AA66" s="574"/>
      <c r="AB66" s="574"/>
      <c r="AC66" s="574"/>
      <c r="AD66" s="574"/>
      <c r="AE66" s="574"/>
      <c r="AF66" s="574"/>
    </row>
    <row r="67" spans="1:139" ht="13.5" x14ac:dyDescent="0.25">
      <c r="A67" s="15"/>
      <c r="B67" s="41" t="s">
        <v>68</v>
      </c>
      <c r="C67" s="41" t="s">
        <v>26</v>
      </c>
      <c r="D67" s="46"/>
      <c r="E67" s="15"/>
      <c r="F67" s="15"/>
      <c r="G67" s="43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H67" s="15"/>
    </row>
    <row r="68" spans="1:139" ht="13.5" x14ac:dyDescent="0.25">
      <c r="A68" s="15"/>
      <c r="B68" s="41" t="s">
        <v>69</v>
      </c>
      <c r="C68" s="54"/>
      <c r="D68" s="46"/>
      <c r="E68" s="15"/>
      <c r="F68" s="15"/>
      <c r="G68" s="43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H68" s="15"/>
    </row>
    <row r="69" spans="1:139" s="22" customFormat="1" x14ac:dyDescent="0.2">
      <c r="A69" s="29">
        <v>40544</v>
      </c>
      <c r="B69" s="29" t="s">
        <v>291</v>
      </c>
      <c r="C69" s="13" t="s">
        <v>290</v>
      </c>
      <c r="D69" s="48">
        <v>0.33329999999999999</v>
      </c>
      <c r="E69" s="52">
        <v>40544</v>
      </c>
      <c r="F69" s="18">
        <v>99</v>
      </c>
      <c r="G69" s="55">
        <v>35</v>
      </c>
      <c r="H69" s="32">
        <f>((F69*D69)/12)*G69</f>
        <v>96.240374999999986</v>
      </c>
      <c r="I69" s="31">
        <f>F69-H69</f>
        <v>2.759625000000014</v>
      </c>
      <c r="J69" s="33">
        <v>112.72199999999999</v>
      </c>
      <c r="K69" s="33">
        <v>112.79</v>
      </c>
      <c r="L69" s="33">
        <f>J69/K69</f>
        <v>0.99939710967284323</v>
      </c>
      <c r="M69" s="32">
        <f>I69*L69</f>
        <v>2.757961248780934</v>
      </c>
      <c r="N69" s="33">
        <f>112.722/K69</f>
        <v>0.99939710967284323</v>
      </c>
      <c r="O69" s="32">
        <f>I69*L69</f>
        <v>2.757961248780934</v>
      </c>
      <c r="P69" s="34">
        <v>120</v>
      </c>
      <c r="Q69" s="34"/>
      <c r="R69" s="34"/>
      <c r="S69" s="32">
        <f>(D69*F69)/12</f>
        <v>2.7497249999999998</v>
      </c>
      <c r="T69" s="32">
        <f>(($F69*D69)/12)</f>
        <v>2.7497249999999998</v>
      </c>
      <c r="U69" s="32">
        <f>(($F69*D69)/12)</f>
        <v>2.7497249999999998</v>
      </c>
      <c r="V69" s="32">
        <f>(($F69*D69)/12)</f>
        <v>2.7497249999999998</v>
      </c>
      <c r="W69" s="32">
        <f>(($F69*D69)/12)</f>
        <v>2.7497249999999998</v>
      </c>
      <c r="X69" s="32">
        <f>(($F69*D69)/12)</f>
        <v>2.7497249999999998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1</v>
      </c>
      <c r="AH69" s="34"/>
    </row>
    <row r="70" spans="1:139" s="22" customFormat="1" x14ac:dyDescent="0.2">
      <c r="A70" s="29">
        <v>37987</v>
      </c>
      <c r="B70" s="29" t="s">
        <v>291</v>
      </c>
      <c r="C70" s="13" t="s">
        <v>264</v>
      </c>
      <c r="D70" s="48">
        <v>0.33329999999999999</v>
      </c>
      <c r="E70" s="52">
        <v>37987</v>
      </c>
      <c r="F70" s="18">
        <v>99</v>
      </c>
      <c r="G70" s="55">
        <v>119</v>
      </c>
      <c r="H70" s="32">
        <f>((F70*D70)/12)*G70</f>
        <v>327.21727499999997</v>
      </c>
      <c r="I70" s="31">
        <f>F70-H70</f>
        <v>-228.21727499999997</v>
      </c>
      <c r="J70" s="33">
        <v>112.72199999999999</v>
      </c>
      <c r="K70" s="33">
        <v>112.79</v>
      </c>
      <c r="L70" s="33">
        <f>J70/K70</f>
        <v>0.99939710967284323</v>
      </c>
      <c r="M70" s="32">
        <f>I70*L70</f>
        <v>-228.0796850124124</v>
      </c>
      <c r="N70" s="33">
        <f>112.722/K70</f>
        <v>0.99939710967284323</v>
      </c>
      <c r="O70" s="32">
        <f>I70*L70</f>
        <v>-228.0796850124124</v>
      </c>
      <c r="P70" s="34">
        <v>120</v>
      </c>
      <c r="Q70" s="34"/>
      <c r="R70" s="34"/>
      <c r="S70" s="32">
        <f>(D70*F70)/12</f>
        <v>2.7497249999999998</v>
      </c>
      <c r="T70" s="32">
        <f>(($F70*D70)/12)</f>
        <v>2.7497249999999998</v>
      </c>
      <c r="U70" s="32">
        <f>(($F70*D70)/12)</f>
        <v>2.7497249999999998</v>
      </c>
      <c r="V70" s="32">
        <f>(($F70*D70)/12)</f>
        <v>2.7497249999999998</v>
      </c>
      <c r="W70" s="32">
        <f>(($F70*D70)/12)</f>
        <v>2.7497249999999998</v>
      </c>
      <c r="X70" s="32">
        <f>(($F70*D70)/12)</f>
        <v>2.7497249999999998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1</v>
      </c>
      <c r="AH70" s="34"/>
    </row>
    <row r="71" spans="1:139" s="22" customFormat="1" x14ac:dyDescent="0.2">
      <c r="A71" s="29">
        <v>40544</v>
      </c>
      <c r="B71" s="29" t="s">
        <v>291</v>
      </c>
      <c r="C71" s="13" t="s">
        <v>203</v>
      </c>
      <c r="D71" s="48">
        <v>0.33329999999999999</v>
      </c>
      <c r="E71" s="52">
        <v>40544</v>
      </c>
      <c r="F71" s="18">
        <v>59</v>
      </c>
      <c r="G71" s="55">
        <v>35</v>
      </c>
      <c r="H71" s="32">
        <f>((F71*D71)/12)*G71</f>
        <v>57.355375000000002</v>
      </c>
      <c r="I71" s="31">
        <f>F71-H71</f>
        <v>1.6446249999999978</v>
      </c>
      <c r="J71" s="33">
        <v>112.72199999999999</v>
      </c>
      <c r="K71" s="33">
        <v>112.79</v>
      </c>
      <c r="L71" s="33">
        <f>J71/K71</f>
        <v>0.99939710967284323</v>
      </c>
      <c r="M71" s="32">
        <f>I71*L71</f>
        <v>1.6436334714956975</v>
      </c>
      <c r="N71" s="33">
        <f>112.722/K71</f>
        <v>0.99939710967284323</v>
      </c>
      <c r="O71" s="32">
        <f>I71*L71</f>
        <v>1.6436334714956975</v>
      </c>
      <c r="P71" s="34">
        <v>120</v>
      </c>
      <c r="Q71" s="34"/>
      <c r="R71" s="34"/>
      <c r="S71" s="32">
        <f>(D71*F71)/12</f>
        <v>1.638725</v>
      </c>
      <c r="T71" s="32">
        <f>(($F71*D71)/12)</f>
        <v>1.638725</v>
      </c>
      <c r="U71" s="32">
        <f>(($F71*D71)/12)</f>
        <v>1.638725</v>
      </c>
      <c r="V71" s="32">
        <f>(($F71*D71)/12)</f>
        <v>1.638725</v>
      </c>
      <c r="W71" s="32">
        <f>(($F71*D71)/12)</f>
        <v>1.638725</v>
      </c>
      <c r="X71" s="32">
        <f>(($F71*D71)/12)</f>
        <v>1.638725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1</v>
      </c>
      <c r="AH71" s="34"/>
    </row>
    <row r="72" spans="1:139" x14ac:dyDescent="0.2">
      <c r="A72" s="29"/>
      <c r="B72" s="41" t="s">
        <v>68</v>
      </c>
      <c r="C72" s="41" t="s">
        <v>94</v>
      </c>
      <c r="D72" s="48"/>
      <c r="E72" s="52"/>
      <c r="F72" s="53"/>
      <c r="G72" s="5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H72" s="46"/>
    </row>
    <row r="73" spans="1:139" x14ac:dyDescent="0.2">
      <c r="A73" s="29"/>
      <c r="B73" s="41" t="s">
        <v>86</v>
      </c>
      <c r="C73" s="13"/>
      <c r="D73" s="48"/>
      <c r="E73" s="52"/>
      <c r="F73" s="53"/>
      <c r="G73" s="55"/>
      <c r="H73" s="40"/>
      <c r="I73" s="44"/>
      <c r="J73" s="39"/>
      <c r="K73" s="39"/>
      <c r="L73" s="39"/>
      <c r="M73" s="40"/>
      <c r="N73" s="39"/>
      <c r="O73" s="40"/>
      <c r="P73" s="45"/>
      <c r="Q73" s="45"/>
      <c r="R73" s="45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H73" s="45"/>
    </row>
    <row r="74" spans="1:139" x14ac:dyDescent="0.2">
      <c r="A74" s="29">
        <v>39448</v>
      </c>
      <c r="B74" s="29" t="s">
        <v>292</v>
      </c>
      <c r="C74" s="13" t="s">
        <v>37</v>
      </c>
      <c r="D74" s="48">
        <v>0.1</v>
      </c>
      <c r="E74" s="52">
        <v>39448</v>
      </c>
      <c r="F74" s="18">
        <v>395</v>
      </c>
      <c r="G74" s="55">
        <v>71</v>
      </c>
      <c r="H74" s="32">
        <f>((F74*D74)/12)*G74</f>
        <v>233.70833333333331</v>
      </c>
      <c r="I74" s="31">
        <f>F74-H74</f>
        <v>161.29166666666669</v>
      </c>
      <c r="J74" s="33">
        <v>112.72199999999999</v>
      </c>
      <c r="K74" s="33">
        <v>112.79</v>
      </c>
      <c r="L74" s="33">
        <f>J74/K74</f>
        <v>0.99939710967284323</v>
      </c>
      <c r="M74" s="32">
        <f>I74*L74</f>
        <v>161.19442548098235</v>
      </c>
      <c r="N74" s="33">
        <f>112.722/K74</f>
        <v>0.99939710967284323</v>
      </c>
      <c r="O74" s="32">
        <f>I74*L74</f>
        <v>161.19442548098235</v>
      </c>
      <c r="P74" s="34">
        <v>36</v>
      </c>
      <c r="Q74" s="34"/>
      <c r="R74" s="34"/>
      <c r="S74" s="32">
        <f>(D74*F74)/12</f>
        <v>3.2916666666666665</v>
      </c>
      <c r="T74" s="32">
        <f>(($F74*D74)/12)</f>
        <v>3.2916666666666665</v>
      </c>
      <c r="U74" s="32">
        <f>(($F74*D74)/12)</f>
        <v>3.2916666666666665</v>
      </c>
      <c r="V74" s="32">
        <f>(($F74*D74)/12)</f>
        <v>3.2916666666666665</v>
      </c>
      <c r="W74" s="32">
        <f>(($F74*D74)/12)</f>
        <v>3.2916666666666665</v>
      </c>
      <c r="X74" s="32">
        <f>(($F74*D74)/12)</f>
        <v>3.2916666666666665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f>SUM(S74:AD74)</f>
        <v>19.75</v>
      </c>
      <c r="AF74" s="32">
        <f>I74-AE74</f>
        <v>141.54166666666669</v>
      </c>
      <c r="AH74" s="34"/>
    </row>
    <row r="75" spans="1:139" x14ac:dyDescent="0.2">
      <c r="A75" s="30"/>
      <c r="B75" s="41" t="s">
        <v>74</v>
      </c>
      <c r="C75" s="41" t="s">
        <v>28</v>
      </c>
      <c r="D75" s="6"/>
      <c r="E75" s="30"/>
      <c r="F75" s="2"/>
      <c r="G75" s="7"/>
      <c r="H75" s="4"/>
      <c r="I75" s="3"/>
      <c r="J75" s="5"/>
      <c r="K75" s="5"/>
      <c r="L75" s="5"/>
      <c r="M75" s="4"/>
      <c r="N75" s="5"/>
      <c r="O75" s="4"/>
      <c r="P75" s="6"/>
      <c r="Q75" s="6"/>
      <c r="R75" s="6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H75" s="6"/>
    </row>
    <row r="76" spans="1:139" x14ac:dyDescent="0.2">
      <c r="A76" s="30"/>
      <c r="B76" s="41" t="s">
        <v>80</v>
      </c>
      <c r="C76" s="46"/>
      <c r="D76" s="42"/>
      <c r="E76" s="30"/>
      <c r="F76" s="2"/>
      <c r="G76" s="7"/>
      <c r="H76" s="4"/>
      <c r="I76" s="3"/>
      <c r="J76" s="5"/>
      <c r="K76" s="5"/>
      <c r="L76" s="5"/>
      <c r="M76" s="4"/>
      <c r="N76" s="5"/>
      <c r="O76" s="4"/>
      <c r="P76" s="6"/>
      <c r="Q76" s="6"/>
      <c r="R76" s="6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>
        <f>SUM(S76:AD76)</f>
        <v>0</v>
      </c>
      <c r="AF76" s="4">
        <f>SUM(T76:AE76)</f>
        <v>0</v>
      </c>
      <c r="AH76" s="6"/>
    </row>
    <row r="77" spans="1:139" s="23" customFormat="1" x14ac:dyDescent="0.2">
      <c r="A77" s="29">
        <v>37987</v>
      </c>
      <c r="B77" s="29" t="s">
        <v>293</v>
      </c>
      <c r="C77" s="13" t="s">
        <v>294</v>
      </c>
      <c r="D77" s="38">
        <v>0.1</v>
      </c>
      <c r="E77" s="29">
        <v>37987</v>
      </c>
      <c r="F77" s="18">
        <v>300</v>
      </c>
      <c r="G77" s="55">
        <v>119</v>
      </c>
      <c r="H77" s="32">
        <f>((F77*D77)/12)*G77</f>
        <v>297.5</v>
      </c>
      <c r="I77" s="31">
        <f>F77-H77</f>
        <v>2.5</v>
      </c>
      <c r="J77" s="33">
        <v>112.72199999999999</v>
      </c>
      <c r="K77" s="33">
        <v>112.79</v>
      </c>
      <c r="L77" s="33">
        <f>J77/K77</f>
        <v>0.99939710967284323</v>
      </c>
      <c r="M77" s="32">
        <f>I77*L77</f>
        <v>2.4984927741821079</v>
      </c>
      <c r="N77" s="33">
        <f>112.722/K77</f>
        <v>0.99939710967284323</v>
      </c>
      <c r="O77" s="32">
        <f>I77*L77</f>
        <v>2.4984927741821079</v>
      </c>
      <c r="P77" s="34">
        <v>36</v>
      </c>
      <c r="Q77" s="34"/>
      <c r="R77" s="34"/>
      <c r="S77" s="32">
        <f>(D77*F77)/12</f>
        <v>2.5</v>
      </c>
      <c r="T77" s="32">
        <f>(($F77*D77)/12)</f>
        <v>2.5</v>
      </c>
      <c r="U77" s="32">
        <f>(($F77*D77)/12)</f>
        <v>2.5</v>
      </c>
      <c r="V77" s="32">
        <f>(($F77*D77)/12)</f>
        <v>2.5</v>
      </c>
      <c r="W77" s="32">
        <f>(($F77*D77)/12)</f>
        <v>2.5</v>
      </c>
      <c r="X77" s="32">
        <f>(($F77*D77)/12)</f>
        <v>2.5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1</v>
      </c>
      <c r="AG77" s="22"/>
      <c r="AH77" s="34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</row>
    <row r="78" spans="1:139" s="22" customFormat="1" x14ac:dyDescent="0.2">
      <c r="A78" s="29"/>
      <c r="B78" s="41" t="s">
        <v>74</v>
      </c>
      <c r="C78" s="41" t="s">
        <v>88</v>
      </c>
      <c r="D78" s="38"/>
      <c r="E78" s="29"/>
      <c r="F78" s="18"/>
      <c r="G78" s="24"/>
      <c r="H78" s="40"/>
      <c r="I78" s="44"/>
      <c r="J78" s="39"/>
      <c r="K78" s="39"/>
      <c r="L78" s="39"/>
      <c r="M78" s="40"/>
      <c r="N78" s="39"/>
      <c r="O78" s="40"/>
      <c r="P78" s="45"/>
      <c r="Q78" s="45"/>
      <c r="R78" s="45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H78" s="45"/>
    </row>
    <row r="79" spans="1:139" s="22" customFormat="1" x14ac:dyDescent="0.2">
      <c r="A79" s="29"/>
      <c r="B79" s="41" t="s">
        <v>81</v>
      </c>
      <c r="C79" s="13"/>
      <c r="D79" s="38"/>
      <c r="E79" s="29"/>
      <c r="F79" s="18"/>
      <c r="G79" s="24"/>
      <c r="H79" s="40"/>
      <c r="I79" s="44"/>
      <c r="J79" s="39"/>
      <c r="K79" s="39"/>
      <c r="L79" s="39"/>
      <c r="M79" s="40"/>
      <c r="N79" s="39"/>
      <c r="O79" s="40"/>
      <c r="P79" s="45"/>
      <c r="Q79" s="45"/>
      <c r="R79" s="45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H79" s="45"/>
    </row>
    <row r="80" spans="1:139" s="22" customFormat="1" x14ac:dyDescent="0.2">
      <c r="A80" s="29">
        <v>37987</v>
      </c>
      <c r="B80" s="29" t="s">
        <v>297</v>
      </c>
      <c r="C80" s="13" t="s">
        <v>76</v>
      </c>
      <c r="D80" s="38">
        <v>0.1</v>
      </c>
      <c r="E80" s="29">
        <v>37987</v>
      </c>
      <c r="F80" s="18">
        <v>4625</v>
      </c>
      <c r="G80" s="55">
        <v>119</v>
      </c>
      <c r="H80" s="32">
        <f>((F80*D80)/12)*G80</f>
        <v>4586.458333333333</v>
      </c>
      <c r="I80" s="31">
        <f>F80-H80</f>
        <v>38.54166666666697</v>
      </c>
      <c r="J80" s="33">
        <v>112.72199999999999</v>
      </c>
      <c r="K80" s="33">
        <v>112.79</v>
      </c>
      <c r="L80" s="33">
        <f>J80/K80</f>
        <v>0.99939710967284323</v>
      </c>
      <c r="M80" s="32">
        <f>I80*L80</f>
        <v>38.518430268641133</v>
      </c>
      <c r="N80" s="33">
        <f>112.722/K80</f>
        <v>0.99939710967284323</v>
      </c>
      <c r="O80" s="32">
        <f>I80*L80</f>
        <v>38.518430268641133</v>
      </c>
      <c r="P80" s="34">
        <v>36</v>
      </c>
      <c r="Q80" s="34"/>
      <c r="R80" s="34"/>
      <c r="S80" s="32">
        <f>(D80*F80)/12</f>
        <v>38.541666666666664</v>
      </c>
      <c r="T80" s="32">
        <f>(($F80*D80)/12)</f>
        <v>38.541666666666664</v>
      </c>
      <c r="U80" s="32">
        <f>(($F80*D80)/12)</f>
        <v>38.541666666666664</v>
      </c>
      <c r="V80" s="32">
        <f>(($F80*D80)/12)</f>
        <v>38.541666666666664</v>
      </c>
      <c r="W80" s="32">
        <f>(($F80*D80)/12)</f>
        <v>38.541666666666664</v>
      </c>
      <c r="X80" s="32">
        <f>(($F80*D80)/12)</f>
        <v>38.541666666666664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1</v>
      </c>
      <c r="AH80" s="34"/>
    </row>
    <row r="81" spans="1:34" s="22" customFormat="1" x14ac:dyDescent="0.2">
      <c r="A81" s="29"/>
      <c r="B81" s="41" t="s">
        <v>74</v>
      </c>
      <c r="C81" s="41" t="s">
        <v>295</v>
      </c>
      <c r="D81" s="38"/>
      <c r="E81" s="29"/>
      <c r="F81" s="18"/>
      <c r="G81" s="24"/>
      <c r="H81" s="40"/>
      <c r="I81" s="44"/>
      <c r="J81" s="39"/>
      <c r="K81" s="39"/>
      <c r="L81" s="39"/>
      <c r="M81" s="40"/>
      <c r="N81" s="39"/>
      <c r="O81" s="40"/>
      <c r="P81" s="45"/>
      <c r="Q81" s="45"/>
      <c r="R81" s="4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H81" s="45"/>
    </row>
    <row r="82" spans="1:34" s="22" customFormat="1" x14ac:dyDescent="0.2">
      <c r="A82" s="29"/>
      <c r="B82" s="41" t="s">
        <v>121</v>
      </c>
      <c r="C82" s="13"/>
      <c r="D82" s="38"/>
      <c r="E82" s="29"/>
      <c r="F82" s="18"/>
      <c r="G82" s="24"/>
      <c r="H82" s="40"/>
      <c r="I82" s="44"/>
      <c r="J82" s="39"/>
      <c r="K82" s="39"/>
      <c r="L82" s="39"/>
      <c r="M82" s="40"/>
      <c r="N82" s="39"/>
      <c r="O82" s="40"/>
      <c r="P82" s="45"/>
      <c r="Q82" s="45"/>
      <c r="R82" s="4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H82" s="45"/>
    </row>
    <row r="83" spans="1:34" s="22" customFormat="1" x14ac:dyDescent="0.2">
      <c r="A83" s="29">
        <v>38718</v>
      </c>
      <c r="B83" s="29" t="s">
        <v>296</v>
      </c>
      <c r="C83" s="13" t="s">
        <v>298</v>
      </c>
      <c r="D83" s="48">
        <v>0.1</v>
      </c>
      <c r="E83" s="29">
        <v>38718</v>
      </c>
      <c r="F83" s="18">
        <v>499</v>
      </c>
      <c r="G83" s="55">
        <v>95</v>
      </c>
      <c r="H83" s="32">
        <f t="shared" ref="H83:H92" si="13">((F83*D83)/12)*G83</f>
        <v>395.04166666666674</v>
      </c>
      <c r="I83" s="31">
        <f t="shared" ref="I83:I92" si="14">F83-H83</f>
        <v>103.95833333333326</v>
      </c>
      <c r="J83" s="33">
        <v>112.72199999999999</v>
      </c>
      <c r="K83" s="33">
        <v>112.79</v>
      </c>
      <c r="L83" s="33">
        <f>J83/K83</f>
        <v>0.99939710967284323</v>
      </c>
      <c r="M83" s="32">
        <f>I83*L83</f>
        <v>103.89565785973925</v>
      </c>
      <c r="N83" s="33">
        <f>112.722/K83</f>
        <v>0.99939710967284323</v>
      </c>
      <c r="O83" s="32">
        <f>I83*L83</f>
        <v>103.89565785973925</v>
      </c>
      <c r="P83" s="34">
        <v>36</v>
      </c>
      <c r="Q83" s="34"/>
      <c r="R83" s="34"/>
      <c r="S83" s="32">
        <f t="shared" ref="S83:S92" si="15">(D83*F83)/12</f>
        <v>4.1583333333333341</v>
      </c>
      <c r="T83" s="32">
        <f t="shared" ref="T83:T92" si="16">(($F83*D83)/12)</f>
        <v>4.1583333333333341</v>
      </c>
      <c r="U83" s="32">
        <f t="shared" ref="U83:U92" si="17">(($F83*D83)/12)</f>
        <v>4.1583333333333341</v>
      </c>
      <c r="V83" s="32">
        <f t="shared" ref="V83:V92" si="18">(($F83*D83)/12)</f>
        <v>4.1583333333333341</v>
      </c>
      <c r="W83" s="32">
        <f t="shared" ref="W83:W92" si="19">(($F83*D83)/12)</f>
        <v>4.1583333333333341</v>
      </c>
      <c r="X83" s="32">
        <f t="shared" ref="X83:X92" si="20">(($F83*D83)/12)</f>
        <v>4.1583333333333341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f>SUM(S83:AD83)</f>
        <v>24.950000000000006</v>
      </c>
      <c r="AF83" s="32">
        <f>I83-AE83</f>
        <v>79.008333333333255</v>
      </c>
      <c r="AH83" s="34"/>
    </row>
    <row r="84" spans="1:34" s="22" customFormat="1" x14ac:dyDescent="0.2">
      <c r="A84" s="29">
        <v>38718</v>
      </c>
      <c r="B84" s="29" t="s">
        <v>296</v>
      </c>
      <c r="C84" s="13" t="s">
        <v>298</v>
      </c>
      <c r="D84" s="48">
        <v>0.1</v>
      </c>
      <c r="E84" s="29">
        <v>38718</v>
      </c>
      <c r="F84" s="18">
        <v>499</v>
      </c>
      <c r="G84" s="55">
        <v>95</v>
      </c>
      <c r="H84" s="32">
        <f t="shared" si="13"/>
        <v>395.04166666666674</v>
      </c>
      <c r="I84" s="31">
        <f t="shared" si="14"/>
        <v>103.95833333333326</v>
      </c>
      <c r="J84" s="33">
        <v>112.72199999999999</v>
      </c>
      <c r="K84" s="33">
        <v>112.79</v>
      </c>
      <c r="L84" s="33">
        <f t="shared" ref="L84:L92" si="21">J84/K84</f>
        <v>0.99939710967284323</v>
      </c>
      <c r="M84" s="32">
        <f t="shared" ref="M84:M92" si="22">I84*L84</f>
        <v>103.89565785973925</v>
      </c>
      <c r="N84" s="33">
        <f t="shared" ref="N84:N92" si="23">112.722/K84</f>
        <v>0.99939710967284323</v>
      </c>
      <c r="O84" s="32">
        <f t="shared" ref="O84:O92" si="24">I84*L84</f>
        <v>103.89565785973925</v>
      </c>
      <c r="P84" s="34">
        <v>36</v>
      </c>
      <c r="Q84" s="34"/>
      <c r="R84" s="34"/>
      <c r="S84" s="32">
        <f t="shared" si="15"/>
        <v>4.1583333333333341</v>
      </c>
      <c r="T84" s="32">
        <f t="shared" si="16"/>
        <v>4.1583333333333341</v>
      </c>
      <c r="U84" s="32">
        <f t="shared" si="17"/>
        <v>4.1583333333333341</v>
      </c>
      <c r="V84" s="32">
        <f t="shared" si="18"/>
        <v>4.1583333333333341</v>
      </c>
      <c r="W84" s="32">
        <f t="shared" si="19"/>
        <v>4.1583333333333341</v>
      </c>
      <c r="X84" s="32">
        <f t="shared" si="20"/>
        <v>4.1583333333333341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f t="shared" ref="AE84:AE92" si="25">SUM(S84:AD84)</f>
        <v>24.950000000000006</v>
      </c>
      <c r="AF84" s="32">
        <f t="shared" ref="AF84:AF92" si="26">I84-AE84</f>
        <v>79.008333333333255</v>
      </c>
      <c r="AH84" s="34"/>
    </row>
    <row r="85" spans="1:34" s="22" customFormat="1" x14ac:dyDescent="0.2">
      <c r="A85" s="29">
        <v>38718</v>
      </c>
      <c r="B85" s="29" t="s">
        <v>296</v>
      </c>
      <c r="C85" s="13" t="s">
        <v>298</v>
      </c>
      <c r="D85" s="48">
        <v>0.1</v>
      </c>
      <c r="E85" s="29">
        <v>38718</v>
      </c>
      <c r="F85" s="18">
        <v>499</v>
      </c>
      <c r="G85" s="55">
        <v>95</v>
      </c>
      <c r="H85" s="32">
        <f t="shared" si="13"/>
        <v>395.04166666666674</v>
      </c>
      <c r="I85" s="31">
        <f t="shared" si="14"/>
        <v>103.95833333333326</v>
      </c>
      <c r="J85" s="33">
        <v>112.72199999999999</v>
      </c>
      <c r="K85" s="33">
        <v>112.79</v>
      </c>
      <c r="L85" s="33">
        <f t="shared" si="21"/>
        <v>0.99939710967284323</v>
      </c>
      <c r="M85" s="32">
        <f t="shared" si="22"/>
        <v>103.89565785973925</v>
      </c>
      <c r="N85" s="33">
        <f t="shared" si="23"/>
        <v>0.99939710967284323</v>
      </c>
      <c r="O85" s="32">
        <f t="shared" si="24"/>
        <v>103.89565785973925</v>
      </c>
      <c r="P85" s="34">
        <v>36</v>
      </c>
      <c r="Q85" s="34"/>
      <c r="R85" s="34"/>
      <c r="S85" s="32">
        <f t="shared" si="15"/>
        <v>4.1583333333333341</v>
      </c>
      <c r="T85" s="32">
        <f t="shared" si="16"/>
        <v>4.1583333333333341</v>
      </c>
      <c r="U85" s="32">
        <f t="shared" si="17"/>
        <v>4.1583333333333341</v>
      </c>
      <c r="V85" s="32">
        <f t="shared" si="18"/>
        <v>4.1583333333333341</v>
      </c>
      <c r="W85" s="32">
        <f t="shared" si="19"/>
        <v>4.1583333333333341</v>
      </c>
      <c r="X85" s="32">
        <f t="shared" si="20"/>
        <v>4.1583333333333341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f t="shared" si="25"/>
        <v>24.950000000000006</v>
      </c>
      <c r="AF85" s="32">
        <f t="shared" si="26"/>
        <v>79.008333333333255</v>
      </c>
      <c r="AH85" s="34"/>
    </row>
    <row r="86" spans="1:34" s="22" customFormat="1" x14ac:dyDescent="0.2">
      <c r="A86" s="29">
        <v>38718</v>
      </c>
      <c r="B86" s="29" t="s">
        <v>296</v>
      </c>
      <c r="C86" s="13" t="s">
        <v>298</v>
      </c>
      <c r="D86" s="48">
        <v>0.1</v>
      </c>
      <c r="E86" s="29">
        <v>38718</v>
      </c>
      <c r="F86" s="18">
        <v>499</v>
      </c>
      <c r="G86" s="55">
        <v>95</v>
      </c>
      <c r="H86" s="32">
        <f t="shared" si="13"/>
        <v>395.04166666666674</v>
      </c>
      <c r="I86" s="31">
        <f t="shared" si="14"/>
        <v>103.95833333333326</v>
      </c>
      <c r="J86" s="33">
        <v>112.72199999999999</v>
      </c>
      <c r="K86" s="33">
        <v>112.79</v>
      </c>
      <c r="L86" s="33">
        <f t="shared" si="21"/>
        <v>0.99939710967284323</v>
      </c>
      <c r="M86" s="32">
        <f t="shared" si="22"/>
        <v>103.89565785973925</v>
      </c>
      <c r="N86" s="33">
        <f t="shared" si="23"/>
        <v>0.99939710967284323</v>
      </c>
      <c r="O86" s="32">
        <f t="shared" si="24"/>
        <v>103.89565785973925</v>
      </c>
      <c r="P86" s="34">
        <v>36</v>
      </c>
      <c r="Q86" s="34"/>
      <c r="R86" s="34"/>
      <c r="S86" s="32">
        <f t="shared" si="15"/>
        <v>4.1583333333333341</v>
      </c>
      <c r="T86" s="32">
        <f t="shared" si="16"/>
        <v>4.1583333333333341</v>
      </c>
      <c r="U86" s="32">
        <f t="shared" si="17"/>
        <v>4.1583333333333341</v>
      </c>
      <c r="V86" s="32">
        <f t="shared" si="18"/>
        <v>4.1583333333333341</v>
      </c>
      <c r="W86" s="32">
        <f t="shared" si="19"/>
        <v>4.1583333333333341</v>
      </c>
      <c r="X86" s="32">
        <f t="shared" si="20"/>
        <v>4.1583333333333341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f t="shared" si="25"/>
        <v>24.950000000000006</v>
      </c>
      <c r="AF86" s="32">
        <f t="shared" si="26"/>
        <v>79.008333333333255</v>
      </c>
      <c r="AH86" s="34"/>
    </row>
    <row r="87" spans="1:34" s="22" customFormat="1" x14ac:dyDescent="0.2">
      <c r="A87" s="29">
        <v>38718</v>
      </c>
      <c r="B87" s="29" t="s">
        <v>296</v>
      </c>
      <c r="C87" s="13" t="s">
        <v>298</v>
      </c>
      <c r="D87" s="48">
        <v>0.1</v>
      </c>
      <c r="E87" s="29">
        <v>38718</v>
      </c>
      <c r="F87" s="18">
        <v>499</v>
      </c>
      <c r="G87" s="55">
        <v>95</v>
      </c>
      <c r="H87" s="32">
        <f t="shared" si="13"/>
        <v>395.04166666666674</v>
      </c>
      <c r="I87" s="31">
        <f t="shared" si="14"/>
        <v>103.95833333333326</v>
      </c>
      <c r="J87" s="33">
        <v>112.72199999999999</v>
      </c>
      <c r="K87" s="33">
        <v>112.79</v>
      </c>
      <c r="L87" s="33">
        <f t="shared" si="21"/>
        <v>0.99939710967284323</v>
      </c>
      <c r="M87" s="32">
        <f t="shared" si="22"/>
        <v>103.89565785973925</v>
      </c>
      <c r="N87" s="33">
        <f t="shared" si="23"/>
        <v>0.99939710967284323</v>
      </c>
      <c r="O87" s="32">
        <f t="shared" si="24"/>
        <v>103.89565785973925</v>
      </c>
      <c r="P87" s="34">
        <v>36</v>
      </c>
      <c r="Q87" s="34"/>
      <c r="R87" s="34"/>
      <c r="S87" s="32">
        <f t="shared" si="15"/>
        <v>4.1583333333333341</v>
      </c>
      <c r="T87" s="32">
        <f t="shared" si="16"/>
        <v>4.1583333333333341</v>
      </c>
      <c r="U87" s="32">
        <f t="shared" si="17"/>
        <v>4.1583333333333341</v>
      </c>
      <c r="V87" s="32">
        <f t="shared" si="18"/>
        <v>4.1583333333333341</v>
      </c>
      <c r="W87" s="32">
        <f t="shared" si="19"/>
        <v>4.1583333333333341</v>
      </c>
      <c r="X87" s="32">
        <f t="shared" si="20"/>
        <v>4.1583333333333341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f t="shared" si="25"/>
        <v>24.950000000000006</v>
      </c>
      <c r="AF87" s="32">
        <f t="shared" si="26"/>
        <v>79.008333333333255</v>
      </c>
      <c r="AH87" s="34"/>
    </row>
    <row r="88" spans="1:34" s="22" customFormat="1" x14ac:dyDescent="0.2">
      <c r="A88" s="29">
        <v>38718</v>
      </c>
      <c r="B88" s="29" t="s">
        <v>296</v>
      </c>
      <c r="C88" s="13" t="s">
        <v>298</v>
      </c>
      <c r="D88" s="48">
        <v>0.1</v>
      </c>
      <c r="E88" s="29">
        <v>38718</v>
      </c>
      <c r="F88" s="18">
        <v>499</v>
      </c>
      <c r="G88" s="55">
        <v>95</v>
      </c>
      <c r="H88" s="32">
        <f t="shared" si="13"/>
        <v>395.04166666666674</v>
      </c>
      <c r="I88" s="31">
        <f t="shared" si="14"/>
        <v>103.95833333333326</v>
      </c>
      <c r="J88" s="33">
        <v>112.72199999999999</v>
      </c>
      <c r="K88" s="33">
        <v>112.79</v>
      </c>
      <c r="L88" s="33">
        <f t="shared" si="21"/>
        <v>0.99939710967284323</v>
      </c>
      <c r="M88" s="32">
        <f t="shared" si="22"/>
        <v>103.89565785973925</v>
      </c>
      <c r="N88" s="33">
        <f t="shared" si="23"/>
        <v>0.99939710967284323</v>
      </c>
      <c r="O88" s="32">
        <f t="shared" si="24"/>
        <v>103.89565785973925</v>
      </c>
      <c r="P88" s="34">
        <v>36</v>
      </c>
      <c r="Q88" s="34"/>
      <c r="R88" s="34"/>
      <c r="S88" s="32">
        <f t="shared" si="15"/>
        <v>4.1583333333333341</v>
      </c>
      <c r="T88" s="32">
        <f t="shared" si="16"/>
        <v>4.1583333333333341</v>
      </c>
      <c r="U88" s="32">
        <f t="shared" si="17"/>
        <v>4.1583333333333341</v>
      </c>
      <c r="V88" s="32">
        <f t="shared" si="18"/>
        <v>4.1583333333333341</v>
      </c>
      <c r="W88" s="32">
        <f t="shared" si="19"/>
        <v>4.1583333333333341</v>
      </c>
      <c r="X88" s="32">
        <f t="shared" si="20"/>
        <v>4.1583333333333341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f t="shared" si="25"/>
        <v>24.950000000000006</v>
      </c>
      <c r="AF88" s="32">
        <f t="shared" si="26"/>
        <v>79.008333333333255</v>
      </c>
      <c r="AH88" s="34"/>
    </row>
    <row r="89" spans="1:34" s="22" customFormat="1" x14ac:dyDescent="0.2">
      <c r="A89" s="29">
        <v>38718</v>
      </c>
      <c r="B89" s="29" t="s">
        <v>296</v>
      </c>
      <c r="C89" s="13" t="s">
        <v>298</v>
      </c>
      <c r="D89" s="48">
        <v>0.1</v>
      </c>
      <c r="E89" s="29">
        <v>38718</v>
      </c>
      <c r="F89" s="18">
        <v>499</v>
      </c>
      <c r="G89" s="55">
        <v>95</v>
      </c>
      <c r="H89" s="32">
        <f t="shared" si="13"/>
        <v>395.04166666666674</v>
      </c>
      <c r="I89" s="31">
        <f t="shared" si="14"/>
        <v>103.95833333333326</v>
      </c>
      <c r="J89" s="33">
        <v>112.72199999999999</v>
      </c>
      <c r="K89" s="33">
        <v>112.79</v>
      </c>
      <c r="L89" s="33">
        <f t="shared" si="21"/>
        <v>0.99939710967284323</v>
      </c>
      <c r="M89" s="32">
        <f t="shared" si="22"/>
        <v>103.89565785973925</v>
      </c>
      <c r="N89" s="33">
        <f t="shared" si="23"/>
        <v>0.99939710967284323</v>
      </c>
      <c r="O89" s="32">
        <f t="shared" si="24"/>
        <v>103.89565785973925</v>
      </c>
      <c r="P89" s="34">
        <v>36</v>
      </c>
      <c r="Q89" s="34"/>
      <c r="R89" s="34"/>
      <c r="S89" s="32">
        <f t="shared" si="15"/>
        <v>4.1583333333333341</v>
      </c>
      <c r="T89" s="32">
        <f t="shared" si="16"/>
        <v>4.1583333333333341</v>
      </c>
      <c r="U89" s="32">
        <f t="shared" si="17"/>
        <v>4.1583333333333341</v>
      </c>
      <c r="V89" s="32">
        <f t="shared" si="18"/>
        <v>4.1583333333333341</v>
      </c>
      <c r="W89" s="32">
        <f t="shared" si="19"/>
        <v>4.1583333333333341</v>
      </c>
      <c r="X89" s="32">
        <f t="shared" si="20"/>
        <v>4.1583333333333341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f t="shared" si="25"/>
        <v>24.950000000000006</v>
      </c>
      <c r="AF89" s="32">
        <f t="shared" si="26"/>
        <v>79.008333333333255</v>
      </c>
      <c r="AH89" s="34"/>
    </row>
    <row r="90" spans="1:34" s="22" customFormat="1" x14ac:dyDescent="0.2">
      <c r="A90" s="29">
        <v>38718</v>
      </c>
      <c r="B90" s="29" t="s">
        <v>296</v>
      </c>
      <c r="C90" s="13" t="s">
        <v>298</v>
      </c>
      <c r="D90" s="48">
        <v>0.1</v>
      </c>
      <c r="E90" s="29">
        <v>38718</v>
      </c>
      <c r="F90" s="18">
        <v>499</v>
      </c>
      <c r="G90" s="55">
        <v>95</v>
      </c>
      <c r="H90" s="32">
        <f t="shared" si="13"/>
        <v>395.04166666666674</v>
      </c>
      <c r="I90" s="31">
        <f t="shared" si="14"/>
        <v>103.95833333333326</v>
      </c>
      <c r="J90" s="33">
        <v>112.72199999999999</v>
      </c>
      <c r="K90" s="33">
        <v>112.79</v>
      </c>
      <c r="L90" s="33">
        <f t="shared" si="21"/>
        <v>0.99939710967284323</v>
      </c>
      <c r="M90" s="32">
        <f t="shared" si="22"/>
        <v>103.89565785973925</v>
      </c>
      <c r="N90" s="33">
        <f t="shared" si="23"/>
        <v>0.99939710967284323</v>
      </c>
      <c r="O90" s="32">
        <f t="shared" si="24"/>
        <v>103.89565785973925</v>
      </c>
      <c r="P90" s="34">
        <v>36</v>
      </c>
      <c r="Q90" s="34"/>
      <c r="R90" s="34"/>
      <c r="S90" s="32">
        <f t="shared" si="15"/>
        <v>4.1583333333333341</v>
      </c>
      <c r="T90" s="32">
        <f t="shared" si="16"/>
        <v>4.1583333333333341</v>
      </c>
      <c r="U90" s="32">
        <f t="shared" si="17"/>
        <v>4.1583333333333341</v>
      </c>
      <c r="V90" s="32">
        <f t="shared" si="18"/>
        <v>4.1583333333333341</v>
      </c>
      <c r="W90" s="32">
        <f t="shared" si="19"/>
        <v>4.1583333333333341</v>
      </c>
      <c r="X90" s="32">
        <f t="shared" si="20"/>
        <v>4.1583333333333341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f t="shared" si="25"/>
        <v>24.950000000000006</v>
      </c>
      <c r="AF90" s="32">
        <f t="shared" si="26"/>
        <v>79.008333333333255</v>
      </c>
      <c r="AH90" s="34"/>
    </row>
    <row r="91" spans="1:34" s="22" customFormat="1" x14ac:dyDescent="0.2">
      <c r="A91" s="29">
        <v>38718</v>
      </c>
      <c r="B91" s="29" t="s">
        <v>296</v>
      </c>
      <c r="C91" s="13" t="s">
        <v>298</v>
      </c>
      <c r="D91" s="48">
        <v>0.1</v>
      </c>
      <c r="E91" s="29">
        <v>38718</v>
      </c>
      <c r="F91" s="18">
        <v>499</v>
      </c>
      <c r="G91" s="55">
        <v>95</v>
      </c>
      <c r="H91" s="32">
        <f t="shared" si="13"/>
        <v>395.04166666666674</v>
      </c>
      <c r="I91" s="31">
        <f t="shared" si="14"/>
        <v>103.95833333333326</v>
      </c>
      <c r="J91" s="33">
        <v>112.72199999999999</v>
      </c>
      <c r="K91" s="33">
        <v>112.79</v>
      </c>
      <c r="L91" s="33">
        <f t="shared" si="21"/>
        <v>0.99939710967284323</v>
      </c>
      <c r="M91" s="32">
        <f t="shared" si="22"/>
        <v>103.89565785973925</v>
      </c>
      <c r="N91" s="33">
        <f t="shared" si="23"/>
        <v>0.99939710967284323</v>
      </c>
      <c r="O91" s="32">
        <f t="shared" si="24"/>
        <v>103.89565785973925</v>
      </c>
      <c r="P91" s="34">
        <v>36</v>
      </c>
      <c r="Q91" s="34"/>
      <c r="R91" s="34"/>
      <c r="S91" s="32">
        <f t="shared" si="15"/>
        <v>4.1583333333333341</v>
      </c>
      <c r="T91" s="32">
        <f t="shared" si="16"/>
        <v>4.1583333333333341</v>
      </c>
      <c r="U91" s="32">
        <f t="shared" si="17"/>
        <v>4.1583333333333341</v>
      </c>
      <c r="V91" s="32">
        <f t="shared" si="18"/>
        <v>4.1583333333333341</v>
      </c>
      <c r="W91" s="32">
        <f t="shared" si="19"/>
        <v>4.1583333333333341</v>
      </c>
      <c r="X91" s="32">
        <f t="shared" si="20"/>
        <v>4.1583333333333341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f t="shared" si="25"/>
        <v>24.950000000000006</v>
      </c>
      <c r="AF91" s="32">
        <f t="shared" si="26"/>
        <v>79.008333333333255</v>
      </c>
      <c r="AH91" s="34"/>
    </row>
    <row r="92" spans="1:34" s="22" customFormat="1" x14ac:dyDescent="0.2">
      <c r="A92" s="29">
        <v>38718</v>
      </c>
      <c r="B92" s="29" t="s">
        <v>296</v>
      </c>
      <c r="C92" s="13" t="s">
        <v>298</v>
      </c>
      <c r="D92" s="48">
        <v>0.1</v>
      </c>
      <c r="E92" s="29">
        <v>38718</v>
      </c>
      <c r="F92" s="18">
        <v>499</v>
      </c>
      <c r="G92" s="55">
        <v>95</v>
      </c>
      <c r="H92" s="32">
        <f t="shared" si="13"/>
        <v>395.04166666666674</v>
      </c>
      <c r="I92" s="31">
        <f t="shared" si="14"/>
        <v>103.95833333333326</v>
      </c>
      <c r="J92" s="33">
        <v>112.72199999999999</v>
      </c>
      <c r="K92" s="33">
        <v>112.79</v>
      </c>
      <c r="L92" s="33">
        <f t="shared" si="21"/>
        <v>0.99939710967284323</v>
      </c>
      <c r="M92" s="32">
        <f t="shared" si="22"/>
        <v>103.89565785973925</v>
      </c>
      <c r="N92" s="33">
        <f t="shared" si="23"/>
        <v>0.99939710967284323</v>
      </c>
      <c r="O92" s="32">
        <f t="shared" si="24"/>
        <v>103.89565785973925</v>
      </c>
      <c r="P92" s="34">
        <v>36</v>
      </c>
      <c r="Q92" s="34"/>
      <c r="R92" s="34"/>
      <c r="S92" s="32">
        <f t="shared" si="15"/>
        <v>4.1583333333333341</v>
      </c>
      <c r="T92" s="32">
        <f t="shared" si="16"/>
        <v>4.1583333333333341</v>
      </c>
      <c r="U92" s="32">
        <f t="shared" si="17"/>
        <v>4.1583333333333341</v>
      </c>
      <c r="V92" s="32">
        <f t="shared" si="18"/>
        <v>4.1583333333333341</v>
      </c>
      <c r="W92" s="32">
        <f t="shared" si="19"/>
        <v>4.1583333333333341</v>
      </c>
      <c r="X92" s="32">
        <f t="shared" si="20"/>
        <v>4.1583333333333341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f t="shared" si="25"/>
        <v>24.950000000000006</v>
      </c>
      <c r="AF92" s="32">
        <f t="shared" si="26"/>
        <v>79.008333333333255</v>
      </c>
      <c r="AH92" s="34"/>
    </row>
    <row r="93" spans="1:34" s="22" customFormat="1" x14ac:dyDescent="0.2">
      <c r="A93" s="29"/>
      <c r="B93" s="41" t="s">
        <v>74</v>
      </c>
      <c r="C93" s="41" t="s">
        <v>300</v>
      </c>
      <c r="D93" s="38"/>
      <c r="E93" s="29"/>
      <c r="F93" s="18"/>
      <c r="G93" s="24"/>
      <c r="H93" s="40"/>
      <c r="I93" s="44"/>
      <c r="J93" s="39"/>
      <c r="K93" s="39"/>
      <c r="L93" s="39"/>
      <c r="M93" s="40"/>
      <c r="N93" s="39"/>
      <c r="O93" s="40"/>
      <c r="P93" s="45"/>
      <c r="Q93" s="45"/>
      <c r="R93" s="4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H93" s="45"/>
    </row>
    <row r="94" spans="1:34" s="22" customFormat="1" x14ac:dyDescent="0.2">
      <c r="A94" s="29"/>
      <c r="B94" s="41" t="s">
        <v>299</v>
      </c>
      <c r="C94" s="13"/>
      <c r="D94" s="38"/>
      <c r="E94" s="29"/>
      <c r="F94" s="18"/>
      <c r="G94" s="24"/>
      <c r="H94" s="40"/>
      <c r="I94" s="44"/>
      <c r="J94" s="39"/>
      <c r="K94" s="39"/>
      <c r="L94" s="39"/>
      <c r="M94" s="40"/>
      <c r="N94" s="39"/>
      <c r="O94" s="40"/>
      <c r="P94" s="45"/>
      <c r="Q94" s="45"/>
      <c r="R94" s="4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H94" s="45"/>
    </row>
    <row r="95" spans="1:34" s="22" customFormat="1" x14ac:dyDescent="0.2">
      <c r="A95" s="29">
        <v>35796</v>
      </c>
      <c r="B95" s="29" t="s">
        <v>301</v>
      </c>
      <c r="C95" s="13" t="s">
        <v>302</v>
      </c>
      <c r="D95" s="48">
        <v>0.1</v>
      </c>
      <c r="E95" s="29">
        <v>35796</v>
      </c>
      <c r="F95" s="18">
        <v>950</v>
      </c>
      <c r="G95" s="55">
        <v>191</v>
      </c>
      <c r="H95" s="32">
        <f>((F95*D95)/12)*G95</f>
        <v>1512.0833333333335</v>
      </c>
      <c r="I95" s="31">
        <f>F95-H95</f>
        <v>-562.08333333333348</v>
      </c>
      <c r="J95" s="33">
        <v>112.72199999999999</v>
      </c>
      <c r="K95" s="33">
        <v>112.79</v>
      </c>
      <c r="L95" s="33">
        <f>J95/K95</f>
        <v>0.99939710967284323</v>
      </c>
      <c r="M95" s="32">
        <f>I95*L95</f>
        <v>-561.74445872861077</v>
      </c>
      <c r="N95" s="33">
        <f>112.722/K95</f>
        <v>0.99939710967284323</v>
      </c>
      <c r="O95" s="32">
        <f>I95*L95</f>
        <v>-561.74445872861077</v>
      </c>
      <c r="P95" s="34">
        <v>36</v>
      </c>
      <c r="Q95" s="34"/>
      <c r="R95" s="34"/>
      <c r="S95" s="32">
        <f>(D95*F95)/12</f>
        <v>7.916666666666667</v>
      </c>
      <c r="T95" s="32">
        <f>(($F95*D95)/12)</f>
        <v>7.916666666666667</v>
      </c>
      <c r="U95" s="32">
        <f>(($F95*D95)/12)</f>
        <v>7.916666666666667</v>
      </c>
      <c r="V95" s="32">
        <f>(($F95*D95)/12)</f>
        <v>7.916666666666667</v>
      </c>
      <c r="W95" s="32">
        <f>(($F95*D95)/12)</f>
        <v>7.916666666666667</v>
      </c>
      <c r="X95" s="32">
        <f>(($F95*D95)/12)</f>
        <v>7.916666666666667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1</v>
      </c>
      <c r="AH95" s="34"/>
    </row>
    <row r="96" spans="1:34" s="22" customFormat="1" x14ac:dyDescent="0.2">
      <c r="A96" s="29">
        <v>35796</v>
      </c>
      <c r="B96" s="29" t="s">
        <v>301</v>
      </c>
      <c r="C96" s="13" t="s">
        <v>303</v>
      </c>
      <c r="D96" s="48">
        <v>0.1</v>
      </c>
      <c r="E96" s="29">
        <v>35796</v>
      </c>
      <c r="F96" s="18">
        <v>250</v>
      </c>
      <c r="G96" s="55">
        <v>191</v>
      </c>
      <c r="H96" s="32">
        <f>((F96*D96)/12)*G96</f>
        <v>397.91666666666669</v>
      </c>
      <c r="I96" s="31">
        <f>F96-H96</f>
        <v>-147.91666666666669</v>
      </c>
      <c r="J96" s="33">
        <v>112.72199999999999</v>
      </c>
      <c r="K96" s="33">
        <v>112.79</v>
      </c>
      <c r="L96" s="33">
        <f>J96/K96</f>
        <v>0.99939710967284323</v>
      </c>
      <c r="M96" s="32">
        <f>I96*L96</f>
        <v>-147.82748913910808</v>
      </c>
      <c r="N96" s="33">
        <f>112.722/K96</f>
        <v>0.99939710967284323</v>
      </c>
      <c r="O96" s="32">
        <f>I96*L96</f>
        <v>-147.82748913910808</v>
      </c>
      <c r="P96" s="34">
        <v>36</v>
      </c>
      <c r="Q96" s="34"/>
      <c r="R96" s="34"/>
      <c r="S96" s="32">
        <f>(D96*F96)/12</f>
        <v>2.0833333333333335</v>
      </c>
      <c r="T96" s="32">
        <f>(($F96*D96)/12)</f>
        <v>2.0833333333333335</v>
      </c>
      <c r="U96" s="32">
        <f>(($F96*D96)/12)</f>
        <v>2.0833333333333335</v>
      </c>
      <c r="V96" s="32">
        <f>(($F96*D96)/12)</f>
        <v>2.0833333333333335</v>
      </c>
      <c r="W96" s="32">
        <f>(($F96*D96)/12)</f>
        <v>2.0833333333333335</v>
      </c>
      <c r="X96" s="32">
        <f>(($F96*D96)/12)</f>
        <v>2.0833333333333335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1</v>
      </c>
      <c r="AH96" s="34"/>
    </row>
    <row r="97" spans="1:34" s="22" customFormat="1" x14ac:dyDescent="0.2">
      <c r="A97" s="29"/>
      <c r="B97" s="41" t="s">
        <v>74</v>
      </c>
      <c r="C97" s="41" t="s">
        <v>304</v>
      </c>
      <c r="D97" s="38"/>
      <c r="E97" s="29"/>
      <c r="F97" s="18"/>
      <c r="G97" s="24"/>
      <c r="H97" s="40"/>
      <c r="I97" s="44"/>
      <c r="J97" s="39"/>
      <c r="K97" s="39"/>
      <c r="L97" s="39"/>
      <c r="M97" s="40"/>
      <c r="N97" s="39"/>
      <c r="O97" s="40"/>
      <c r="P97" s="45"/>
      <c r="Q97" s="45"/>
      <c r="R97" s="45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H97" s="45"/>
    </row>
    <row r="98" spans="1:34" s="22" customFormat="1" x14ac:dyDescent="0.2">
      <c r="A98" s="29"/>
      <c r="B98" s="41" t="s">
        <v>305</v>
      </c>
      <c r="C98" s="13"/>
      <c r="D98" s="38"/>
      <c r="E98" s="29"/>
      <c r="F98" s="18"/>
      <c r="G98" s="24"/>
      <c r="H98" s="40"/>
      <c r="I98" s="44"/>
      <c r="J98" s="39"/>
      <c r="K98" s="39"/>
      <c r="L98" s="39"/>
      <c r="M98" s="40"/>
      <c r="N98" s="39"/>
      <c r="O98" s="40"/>
      <c r="P98" s="45"/>
      <c r="Q98" s="45"/>
      <c r="R98" s="45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H98" s="45"/>
    </row>
    <row r="99" spans="1:34" s="22" customFormat="1" x14ac:dyDescent="0.2">
      <c r="A99" s="29">
        <v>35796</v>
      </c>
      <c r="B99" s="29" t="s">
        <v>306</v>
      </c>
      <c r="C99" s="13" t="s">
        <v>307</v>
      </c>
      <c r="D99" s="48">
        <v>0.1</v>
      </c>
      <c r="E99" s="29">
        <v>35796</v>
      </c>
      <c r="F99" s="18">
        <v>800</v>
      </c>
      <c r="G99" s="55">
        <v>191</v>
      </c>
      <c r="H99" s="32">
        <f>((F99*D99)/12)*G99</f>
        <v>1273.3333333333335</v>
      </c>
      <c r="I99" s="31">
        <f>F99-H99</f>
        <v>-473.33333333333348</v>
      </c>
      <c r="J99" s="33">
        <v>112.72199999999999</v>
      </c>
      <c r="K99" s="33">
        <v>112.79</v>
      </c>
      <c r="L99" s="33">
        <f>J99/K99</f>
        <v>0.99939710967284323</v>
      </c>
      <c r="M99" s="32">
        <f>I99*L99</f>
        <v>-473.04796524514597</v>
      </c>
      <c r="N99" s="33">
        <f>112.722/K99</f>
        <v>0.99939710967284323</v>
      </c>
      <c r="O99" s="32">
        <f>I99*L99</f>
        <v>-473.04796524514597</v>
      </c>
      <c r="P99" s="34">
        <v>36</v>
      </c>
      <c r="Q99" s="34"/>
      <c r="R99" s="34"/>
      <c r="S99" s="32">
        <f>(D99*F99)/12</f>
        <v>6.666666666666667</v>
      </c>
      <c r="T99" s="32">
        <f>(($F99*D99)/12)</f>
        <v>6.666666666666667</v>
      </c>
      <c r="U99" s="32">
        <f>(($F99*D99)/12)</f>
        <v>6.666666666666667</v>
      </c>
      <c r="V99" s="32">
        <f>(($F99*D99)/12)</f>
        <v>6.666666666666667</v>
      </c>
      <c r="W99" s="32">
        <f>(($F99*D99)/12)</f>
        <v>6.666666666666667</v>
      </c>
      <c r="X99" s="32">
        <f>(($F99*D99)/12)</f>
        <v>6.666666666666667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2">
        <v>1</v>
      </c>
      <c r="AH99" s="34"/>
    </row>
    <row r="100" spans="1:34" s="22" customFormat="1" x14ac:dyDescent="0.2">
      <c r="A100" s="29"/>
      <c r="B100" s="41" t="s">
        <v>308</v>
      </c>
      <c r="C100" s="41" t="s">
        <v>310</v>
      </c>
      <c r="D100" s="38"/>
      <c r="E100" s="29"/>
      <c r="F100" s="18"/>
      <c r="G100" s="24"/>
      <c r="H100" s="40"/>
      <c r="I100" s="44"/>
      <c r="J100" s="39"/>
      <c r="K100" s="39"/>
      <c r="L100" s="39"/>
      <c r="M100" s="40"/>
      <c r="N100" s="39"/>
      <c r="O100" s="40"/>
      <c r="P100" s="45"/>
      <c r="Q100" s="45"/>
      <c r="R100" s="45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H100" s="45"/>
    </row>
    <row r="101" spans="1:34" s="22" customFormat="1" x14ac:dyDescent="0.2">
      <c r="A101" s="29"/>
      <c r="B101" s="41" t="s">
        <v>309</v>
      </c>
      <c r="C101" s="13"/>
      <c r="D101" s="38"/>
      <c r="E101" s="29"/>
      <c r="F101" s="18"/>
      <c r="G101" s="24"/>
      <c r="H101" s="40"/>
      <c r="I101" s="44"/>
      <c r="J101" s="39"/>
      <c r="K101" s="39"/>
      <c r="L101" s="39"/>
      <c r="M101" s="40"/>
      <c r="N101" s="39"/>
      <c r="O101" s="40"/>
      <c r="P101" s="45"/>
      <c r="Q101" s="45"/>
      <c r="R101" s="45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H101" s="45"/>
    </row>
    <row r="102" spans="1:34" s="22" customFormat="1" x14ac:dyDescent="0.2">
      <c r="A102" s="29">
        <v>40544</v>
      </c>
      <c r="B102" s="29" t="s">
        <v>311</v>
      </c>
      <c r="C102" s="13" t="s">
        <v>312</v>
      </c>
      <c r="D102" s="48">
        <v>0.1</v>
      </c>
      <c r="E102" s="29">
        <v>40544</v>
      </c>
      <c r="F102" s="18">
        <v>680</v>
      </c>
      <c r="G102" s="55">
        <v>35</v>
      </c>
      <c r="H102" s="32">
        <f t="shared" ref="H102:H112" si="27">((F102*D102)/12)*G102</f>
        <v>198.33333333333334</v>
      </c>
      <c r="I102" s="31">
        <f t="shared" ref="I102:I112" si="28">F102-H102</f>
        <v>481.66666666666663</v>
      </c>
      <c r="J102" s="33">
        <v>112.72199999999999</v>
      </c>
      <c r="K102" s="33">
        <v>112.79</v>
      </c>
      <c r="L102" s="33">
        <f t="shared" ref="L102:L112" si="29">J102/K102</f>
        <v>0.99939710967284323</v>
      </c>
      <c r="M102" s="32">
        <f t="shared" ref="M102:M112" si="30">I102*L102</f>
        <v>481.37627449241944</v>
      </c>
      <c r="N102" s="33">
        <f t="shared" ref="N102:N112" si="31">112.722/K102</f>
        <v>0.99939710967284323</v>
      </c>
      <c r="O102" s="32">
        <f t="shared" ref="O102:O112" si="32">I102*L102</f>
        <v>481.37627449241944</v>
      </c>
      <c r="P102" s="34">
        <v>120</v>
      </c>
      <c r="Q102" s="34"/>
      <c r="R102" s="34"/>
      <c r="S102" s="32">
        <f t="shared" ref="S102:S112" si="33">(D102*F102)/12</f>
        <v>5.666666666666667</v>
      </c>
      <c r="T102" s="32">
        <f t="shared" ref="T102:T112" si="34">(($F102*D102)/12)</f>
        <v>5.666666666666667</v>
      </c>
      <c r="U102" s="32">
        <f t="shared" ref="U102:U112" si="35">(($F102*D102)/12)</f>
        <v>5.666666666666667</v>
      </c>
      <c r="V102" s="32">
        <f t="shared" ref="V102:V112" si="36">(($F102*D102)/12)</f>
        <v>5.666666666666667</v>
      </c>
      <c r="W102" s="32">
        <f t="shared" ref="W102:W112" si="37">(($F102*D102)/12)</f>
        <v>5.666666666666667</v>
      </c>
      <c r="X102" s="32">
        <f t="shared" ref="X102:X112" si="38">(($F102*D102)/12)</f>
        <v>5.666666666666667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f t="shared" ref="AE102:AE112" si="39">SUM(S102:AD102)</f>
        <v>34</v>
      </c>
      <c r="AF102" s="32">
        <f t="shared" ref="AF102:AF112" si="40">I102-AE102</f>
        <v>447.66666666666663</v>
      </c>
      <c r="AH102" s="34"/>
    </row>
    <row r="103" spans="1:34" s="22" customFormat="1" x14ac:dyDescent="0.2">
      <c r="A103" s="29">
        <v>40544</v>
      </c>
      <c r="B103" s="29" t="s">
        <v>313</v>
      </c>
      <c r="C103" s="13" t="s">
        <v>312</v>
      </c>
      <c r="D103" s="48">
        <v>0.1</v>
      </c>
      <c r="E103" s="29">
        <v>40544</v>
      </c>
      <c r="F103" s="18">
        <v>680</v>
      </c>
      <c r="G103" s="55">
        <v>35</v>
      </c>
      <c r="H103" s="32">
        <f t="shared" si="27"/>
        <v>198.33333333333334</v>
      </c>
      <c r="I103" s="31">
        <f t="shared" si="28"/>
        <v>481.66666666666663</v>
      </c>
      <c r="J103" s="33">
        <v>112.72199999999999</v>
      </c>
      <c r="K103" s="33">
        <v>112.79</v>
      </c>
      <c r="L103" s="33">
        <f t="shared" si="29"/>
        <v>0.99939710967284323</v>
      </c>
      <c r="M103" s="32">
        <f t="shared" si="30"/>
        <v>481.37627449241944</v>
      </c>
      <c r="N103" s="33">
        <f t="shared" si="31"/>
        <v>0.99939710967284323</v>
      </c>
      <c r="O103" s="32">
        <f t="shared" si="32"/>
        <v>481.37627449241944</v>
      </c>
      <c r="P103" s="34">
        <v>120</v>
      </c>
      <c r="Q103" s="34"/>
      <c r="R103" s="34"/>
      <c r="S103" s="32">
        <f t="shared" si="33"/>
        <v>5.666666666666667</v>
      </c>
      <c r="T103" s="32">
        <f t="shared" si="34"/>
        <v>5.666666666666667</v>
      </c>
      <c r="U103" s="32">
        <f t="shared" si="35"/>
        <v>5.666666666666667</v>
      </c>
      <c r="V103" s="32">
        <f t="shared" si="36"/>
        <v>5.666666666666667</v>
      </c>
      <c r="W103" s="32">
        <f t="shared" si="37"/>
        <v>5.666666666666667</v>
      </c>
      <c r="X103" s="32">
        <f t="shared" si="38"/>
        <v>5.666666666666667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f t="shared" si="39"/>
        <v>34</v>
      </c>
      <c r="AF103" s="32">
        <f t="shared" si="40"/>
        <v>447.66666666666663</v>
      </c>
      <c r="AH103" s="34"/>
    </row>
    <row r="104" spans="1:34" s="22" customFormat="1" x14ac:dyDescent="0.2">
      <c r="A104" s="29">
        <v>40544</v>
      </c>
      <c r="B104" s="29" t="s">
        <v>314</v>
      </c>
      <c r="C104" s="13" t="s">
        <v>312</v>
      </c>
      <c r="D104" s="48">
        <v>0.1</v>
      </c>
      <c r="E104" s="29">
        <v>40544</v>
      </c>
      <c r="F104" s="18">
        <v>680</v>
      </c>
      <c r="G104" s="55">
        <v>35</v>
      </c>
      <c r="H104" s="32">
        <f t="shared" si="27"/>
        <v>198.33333333333334</v>
      </c>
      <c r="I104" s="31">
        <f t="shared" si="28"/>
        <v>481.66666666666663</v>
      </c>
      <c r="J104" s="33">
        <v>112.72199999999999</v>
      </c>
      <c r="K104" s="33">
        <v>112.79</v>
      </c>
      <c r="L104" s="33">
        <f t="shared" si="29"/>
        <v>0.99939710967284323</v>
      </c>
      <c r="M104" s="32">
        <f t="shared" si="30"/>
        <v>481.37627449241944</v>
      </c>
      <c r="N104" s="33">
        <f t="shared" si="31"/>
        <v>0.99939710967284323</v>
      </c>
      <c r="O104" s="32">
        <f t="shared" si="32"/>
        <v>481.37627449241944</v>
      </c>
      <c r="P104" s="34">
        <v>120</v>
      </c>
      <c r="Q104" s="34"/>
      <c r="R104" s="34"/>
      <c r="S104" s="32">
        <f t="shared" si="33"/>
        <v>5.666666666666667</v>
      </c>
      <c r="T104" s="32">
        <f t="shared" si="34"/>
        <v>5.666666666666667</v>
      </c>
      <c r="U104" s="32">
        <f t="shared" si="35"/>
        <v>5.666666666666667</v>
      </c>
      <c r="V104" s="32">
        <f t="shared" si="36"/>
        <v>5.666666666666667</v>
      </c>
      <c r="W104" s="32">
        <f t="shared" si="37"/>
        <v>5.666666666666667</v>
      </c>
      <c r="X104" s="32">
        <f t="shared" si="38"/>
        <v>5.666666666666667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f t="shared" si="39"/>
        <v>34</v>
      </c>
      <c r="AF104" s="32">
        <f t="shared" si="40"/>
        <v>447.66666666666663</v>
      </c>
      <c r="AH104" s="34"/>
    </row>
    <row r="105" spans="1:34" s="22" customFormat="1" x14ac:dyDescent="0.2">
      <c r="A105" s="29">
        <v>40544</v>
      </c>
      <c r="B105" s="29" t="s">
        <v>315</v>
      </c>
      <c r="C105" s="13" t="s">
        <v>312</v>
      </c>
      <c r="D105" s="48">
        <v>0.1</v>
      </c>
      <c r="E105" s="29">
        <v>40544</v>
      </c>
      <c r="F105" s="18">
        <v>680</v>
      </c>
      <c r="G105" s="55">
        <v>35</v>
      </c>
      <c r="H105" s="32">
        <f t="shared" si="27"/>
        <v>198.33333333333334</v>
      </c>
      <c r="I105" s="31">
        <f t="shared" si="28"/>
        <v>481.66666666666663</v>
      </c>
      <c r="J105" s="33">
        <v>112.72199999999999</v>
      </c>
      <c r="K105" s="33">
        <v>112.79</v>
      </c>
      <c r="L105" s="33">
        <f t="shared" si="29"/>
        <v>0.99939710967284323</v>
      </c>
      <c r="M105" s="32">
        <f t="shared" si="30"/>
        <v>481.37627449241944</v>
      </c>
      <c r="N105" s="33">
        <f t="shared" si="31"/>
        <v>0.99939710967284323</v>
      </c>
      <c r="O105" s="32">
        <f t="shared" si="32"/>
        <v>481.37627449241944</v>
      </c>
      <c r="P105" s="34">
        <v>120</v>
      </c>
      <c r="Q105" s="34"/>
      <c r="R105" s="34"/>
      <c r="S105" s="32">
        <f t="shared" si="33"/>
        <v>5.666666666666667</v>
      </c>
      <c r="T105" s="32">
        <f t="shared" si="34"/>
        <v>5.666666666666667</v>
      </c>
      <c r="U105" s="32">
        <f t="shared" si="35"/>
        <v>5.666666666666667</v>
      </c>
      <c r="V105" s="32">
        <f t="shared" si="36"/>
        <v>5.666666666666667</v>
      </c>
      <c r="W105" s="32">
        <f t="shared" si="37"/>
        <v>5.666666666666667</v>
      </c>
      <c r="X105" s="32">
        <f t="shared" si="38"/>
        <v>5.666666666666667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f t="shared" si="39"/>
        <v>34</v>
      </c>
      <c r="AF105" s="32">
        <f t="shared" si="40"/>
        <v>447.66666666666663</v>
      </c>
      <c r="AH105" s="34"/>
    </row>
    <row r="106" spans="1:34" s="22" customFormat="1" x14ac:dyDescent="0.2">
      <c r="A106" s="29">
        <v>40544</v>
      </c>
      <c r="B106" s="29" t="s">
        <v>316</v>
      </c>
      <c r="C106" s="13" t="s">
        <v>312</v>
      </c>
      <c r="D106" s="48">
        <v>0.1</v>
      </c>
      <c r="E106" s="29">
        <v>40544</v>
      </c>
      <c r="F106" s="18">
        <v>680</v>
      </c>
      <c r="G106" s="55">
        <v>35</v>
      </c>
      <c r="H106" s="32">
        <f t="shared" si="27"/>
        <v>198.33333333333334</v>
      </c>
      <c r="I106" s="31">
        <f t="shared" si="28"/>
        <v>481.66666666666663</v>
      </c>
      <c r="J106" s="33">
        <v>112.72199999999999</v>
      </c>
      <c r="K106" s="33">
        <v>112.79</v>
      </c>
      <c r="L106" s="33">
        <f t="shared" si="29"/>
        <v>0.99939710967284323</v>
      </c>
      <c r="M106" s="32">
        <f t="shared" si="30"/>
        <v>481.37627449241944</v>
      </c>
      <c r="N106" s="33">
        <f t="shared" si="31"/>
        <v>0.99939710967284323</v>
      </c>
      <c r="O106" s="32">
        <f t="shared" si="32"/>
        <v>481.37627449241944</v>
      </c>
      <c r="P106" s="34">
        <v>120</v>
      </c>
      <c r="Q106" s="34"/>
      <c r="R106" s="34"/>
      <c r="S106" s="32">
        <f t="shared" si="33"/>
        <v>5.666666666666667</v>
      </c>
      <c r="T106" s="32">
        <f t="shared" si="34"/>
        <v>5.666666666666667</v>
      </c>
      <c r="U106" s="32">
        <f t="shared" si="35"/>
        <v>5.666666666666667</v>
      </c>
      <c r="V106" s="32">
        <f t="shared" si="36"/>
        <v>5.666666666666667</v>
      </c>
      <c r="W106" s="32">
        <f t="shared" si="37"/>
        <v>5.666666666666667</v>
      </c>
      <c r="X106" s="32">
        <f t="shared" si="38"/>
        <v>5.666666666666667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f t="shared" si="39"/>
        <v>34</v>
      </c>
      <c r="AF106" s="32">
        <f t="shared" si="40"/>
        <v>447.66666666666663</v>
      </c>
      <c r="AH106" s="34"/>
    </row>
    <row r="107" spans="1:34" s="22" customFormat="1" x14ac:dyDescent="0.2">
      <c r="A107" s="29">
        <v>40544</v>
      </c>
      <c r="B107" s="29" t="s">
        <v>317</v>
      </c>
      <c r="C107" s="13" t="s">
        <v>312</v>
      </c>
      <c r="D107" s="48">
        <v>0.1</v>
      </c>
      <c r="E107" s="29">
        <v>40544</v>
      </c>
      <c r="F107" s="18">
        <v>680</v>
      </c>
      <c r="G107" s="55">
        <v>35</v>
      </c>
      <c r="H107" s="32">
        <f t="shared" si="27"/>
        <v>198.33333333333334</v>
      </c>
      <c r="I107" s="31">
        <f t="shared" si="28"/>
        <v>481.66666666666663</v>
      </c>
      <c r="J107" s="33">
        <v>112.72199999999999</v>
      </c>
      <c r="K107" s="33">
        <v>112.79</v>
      </c>
      <c r="L107" s="33">
        <f t="shared" si="29"/>
        <v>0.99939710967284323</v>
      </c>
      <c r="M107" s="32">
        <f t="shared" si="30"/>
        <v>481.37627449241944</v>
      </c>
      <c r="N107" s="33">
        <f t="shared" si="31"/>
        <v>0.99939710967284323</v>
      </c>
      <c r="O107" s="32">
        <f t="shared" si="32"/>
        <v>481.37627449241944</v>
      </c>
      <c r="P107" s="34">
        <v>120</v>
      </c>
      <c r="Q107" s="34"/>
      <c r="R107" s="34"/>
      <c r="S107" s="32">
        <f t="shared" si="33"/>
        <v>5.666666666666667</v>
      </c>
      <c r="T107" s="32">
        <f t="shared" si="34"/>
        <v>5.666666666666667</v>
      </c>
      <c r="U107" s="32">
        <f t="shared" si="35"/>
        <v>5.666666666666667</v>
      </c>
      <c r="V107" s="32">
        <f t="shared" si="36"/>
        <v>5.666666666666667</v>
      </c>
      <c r="W107" s="32">
        <f t="shared" si="37"/>
        <v>5.666666666666667</v>
      </c>
      <c r="X107" s="32">
        <f t="shared" si="38"/>
        <v>5.666666666666667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f t="shared" si="39"/>
        <v>34</v>
      </c>
      <c r="AF107" s="32">
        <f t="shared" si="40"/>
        <v>447.66666666666663</v>
      </c>
      <c r="AH107" s="34"/>
    </row>
    <row r="108" spans="1:34" s="22" customFormat="1" x14ac:dyDescent="0.2">
      <c r="A108" s="29">
        <v>40544</v>
      </c>
      <c r="B108" s="29" t="s">
        <v>318</v>
      </c>
      <c r="C108" s="13" t="s">
        <v>312</v>
      </c>
      <c r="D108" s="48">
        <v>0.1</v>
      </c>
      <c r="E108" s="29">
        <v>40544</v>
      </c>
      <c r="F108" s="18">
        <v>680</v>
      </c>
      <c r="G108" s="55">
        <v>35</v>
      </c>
      <c r="H108" s="32">
        <f t="shared" si="27"/>
        <v>198.33333333333334</v>
      </c>
      <c r="I108" s="31">
        <f t="shared" si="28"/>
        <v>481.66666666666663</v>
      </c>
      <c r="J108" s="33">
        <v>112.72199999999999</v>
      </c>
      <c r="K108" s="33">
        <v>112.79</v>
      </c>
      <c r="L108" s="33">
        <f t="shared" si="29"/>
        <v>0.99939710967284323</v>
      </c>
      <c r="M108" s="32">
        <f t="shared" si="30"/>
        <v>481.37627449241944</v>
      </c>
      <c r="N108" s="33">
        <f t="shared" si="31"/>
        <v>0.99939710967284323</v>
      </c>
      <c r="O108" s="32">
        <f t="shared" si="32"/>
        <v>481.37627449241944</v>
      </c>
      <c r="P108" s="34">
        <v>120</v>
      </c>
      <c r="Q108" s="34"/>
      <c r="R108" s="34"/>
      <c r="S108" s="32">
        <f t="shared" si="33"/>
        <v>5.666666666666667</v>
      </c>
      <c r="T108" s="32">
        <f t="shared" si="34"/>
        <v>5.666666666666667</v>
      </c>
      <c r="U108" s="32">
        <f t="shared" si="35"/>
        <v>5.666666666666667</v>
      </c>
      <c r="V108" s="32">
        <f t="shared" si="36"/>
        <v>5.666666666666667</v>
      </c>
      <c r="W108" s="32">
        <f t="shared" si="37"/>
        <v>5.666666666666667</v>
      </c>
      <c r="X108" s="32">
        <f t="shared" si="38"/>
        <v>5.666666666666667</v>
      </c>
      <c r="Y108" s="32">
        <v>0</v>
      </c>
      <c r="Z108" s="32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f t="shared" si="39"/>
        <v>34</v>
      </c>
      <c r="AF108" s="32">
        <f t="shared" si="40"/>
        <v>447.66666666666663</v>
      </c>
      <c r="AH108" s="34"/>
    </row>
    <row r="109" spans="1:34" s="22" customFormat="1" x14ac:dyDescent="0.2">
      <c r="A109" s="29">
        <v>40544</v>
      </c>
      <c r="B109" s="29" t="s">
        <v>319</v>
      </c>
      <c r="C109" s="13" t="s">
        <v>312</v>
      </c>
      <c r="D109" s="48">
        <v>0.1</v>
      </c>
      <c r="E109" s="29">
        <v>40544</v>
      </c>
      <c r="F109" s="18">
        <v>680</v>
      </c>
      <c r="G109" s="55">
        <v>35</v>
      </c>
      <c r="H109" s="32">
        <f t="shared" si="27"/>
        <v>198.33333333333334</v>
      </c>
      <c r="I109" s="31">
        <f t="shared" si="28"/>
        <v>481.66666666666663</v>
      </c>
      <c r="J109" s="33">
        <v>112.72199999999999</v>
      </c>
      <c r="K109" s="33">
        <v>112.79</v>
      </c>
      <c r="L109" s="33">
        <f t="shared" si="29"/>
        <v>0.99939710967284323</v>
      </c>
      <c r="M109" s="32">
        <f t="shared" si="30"/>
        <v>481.37627449241944</v>
      </c>
      <c r="N109" s="33">
        <f t="shared" si="31"/>
        <v>0.99939710967284323</v>
      </c>
      <c r="O109" s="32">
        <f t="shared" si="32"/>
        <v>481.37627449241944</v>
      </c>
      <c r="P109" s="34">
        <v>120</v>
      </c>
      <c r="Q109" s="34"/>
      <c r="R109" s="34"/>
      <c r="S109" s="32">
        <f t="shared" si="33"/>
        <v>5.666666666666667</v>
      </c>
      <c r="T109" s="32">
        <f t="shared" si="34"/>
        <v>5.666666666666667</v>
      </c>
      <c r="U109" s="32">
        <f t="shared" si="35"/>
        <v>5.666666666666667</v>
      </c>
      <c r="V109" s="32">
        <f t="shared" si="36"/>
        <v>5.666666666666667</v>
      </c>
      <c r="W109" s="32">
        <f t="shared" si="37"/>
        <v>5.666666666666667</v>
      </c>
      <c r="X109" s="32">
        <f t="shared" si="38"/>
        <v>5.666666666666667</v>
      </c>
      <c r="Y109" s="32">
        <v>0</v>
      </c>
      <c r="Z109" s="32">
        <v>0</v>
      </c>
      <c r="AA109" s="32">
        <v>0</v>
      </c>
      <c r="AB109" s="32">
        <v>0</v>
      </c>
      <c r="AC109" s="32">
        <v>0</v>
      </c>
      <c r="AD109" s="32">
        <v>0</v>
      </c>
      <c r="AE109" s="32">
        <f t="shared" si="39"/>
        <v>34</v>
      </c>
      <c r="AF109" s="32">
        <f t="shared" si="40"/>
        <v>447.66666666666663</v>
      </c>
      <c r="AH109" s="34"/>
    </row>
    <row r="110" spans="1:34" s="22" customFormat="1" x14ac:dyDescent="0.2">
      <c r="A110" s="29">
        <v>40544</v>
      </c>
      <c r="B110" s="29" t="s">
        <v>320</v>
      </c>
      <c r="C110" s="13" t="s">
        <v>312</v>
      </c>
      <c r="D110" s="48">
        <v>0.1</v>
      </c>
      <c r="E110" s="29">
        <v>40544</v>
      </c>
      <c r="F110" s="18">
        <v>680</v>
      </c>
      <c r="G110" s="55">
        <v>35</v>
      </c>
      <c r="H110" s="32">
        <f t="shared" si="27"/>
        <v>198.33333333333334</v>
      </c>
      <c r="I110" s="31">
        <f t="shared" si="28"/>
        <v>481.66666666666663</v>
      </c>
      <c r="J110" s="33">
        <v>112.72199999999999</v>
      </c>
      <c r="K110" s="33">
        <v>112.79</v>
      </c>
      <c r="L110" s="33">
        <f t="shared" si="29"/>
        <v>0.99939710967284323</v>
      </c>
      <c r="M110" s="32">
        <f t="shared" si="30"/>
        <v>481.37627449241944</v>
      </c>
      <c r="N110" s="33">
        <f t="shared" si="31"/>
        <v>0.99939710967284323</v>
      </c>
      <c r="O110" s="32">
        <f t="shared" si="32"/>
        <v>481.37627449241944</v>
      </c>
      <c r="P110" s="34">
        <v>120</v>
      </c>
      <c r="Q110" s="34"/>
      <c r="R110" s="34"/>
      <c r="S110" s="32">
        <f t="shared" si="33"/>
        <v>5.666666666666667</v>
      </c>
      <c r="T110" s="32">
        <f t="shared" si="34"/>
        <v>5.666666666666667</v>
      </c>
      <c r="U110" s="32">
        <f t="shared" si="35"/>
        <v>5.666666666666667</v>
      </c>
      <c r="V110" s="32">
        <f t="shared" si="36"/>
        <v>5.666666666666667</v>
      </c>
      <c r="W110" s="32">
        <f t="shared" si="37"/>
        <v>5.666666666666667</v>
      </c>
      <c r="X110" s="32">
        <f t="shared" si="38"/>
        <v>5.666666666666667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f t="shared" si="39"/>
        <v>34</v>
      </c>
      <c r="AF110" s="32">
        <f t="shared" si="40"/>
        <v>447.66666666666663</v>
      </c>
      <c r="AH110" s="34"/>
    </row>
    <row r="111" spans="1:34" s="22" customFormat="1" x14ac:dyDescent="0.2">
      <c r="A111" s="29">
        <v>40544</v>
      </c>
      <c r="B111" s="29" t="s">
        <v>321</v>
      </c>
      <c r="C111" s="13" t="s">
        <v>312</v>
      </c>
      <c r="D111" s="48">
        <v>0.1</v>
      </c>
      <c r="E111" s="29">
        <v>40544</v>
      </c>
      <c r="F111" s="18">
        <v>680</v>
      </c>
      <c r="G111" s="55">
        <v>35</v>
      </c>
      <c r="H111" s="32">
        <f t="shared" si="27"/>
        <v>198.33333333333334</v>
      </c>
      <c r="I111" s="31">
        <f t="shared" si="28"/>
        <v>481.66666666666663</v>
      </c>
      <c r="J111" s="33">
        <v>112.72199999999999</v>
      </c>
      <c r="K111" s="33">
        <v>112.79</v>
      </c>
      <c r="L111" s="33">
        <f t="shared" si="29"/>
        <v>0.99939710967284323</v>
      </c>
      <c r="M111" s="32">
        <f t="shared" si="30"/>
        <v>481.37627449241944</v>
      </c>
      <c r="N111" s="33">
        <f t="shared" si="31"/>
        <v>0.99939710967284323</v>
      </c>
      <c r="O111" s="32">
        <f t="shared" si="32"/>
        <v>481.37627449241944</v>
      </c>
      <c r="P111" s="34">
        <v>120</v>
      </c>
      <c r="Q111" s="34"/>
      <c r="R111" s="34"/>
      <c r="S111" s="32">
        <f t="shared" si="33"/>
        <v>5.666666666666667</v>
      </c>
      <c r="T111" s="32">
        <f t="shared" si="34"/>
        <v>5.666666666666667</v>
      </c>
      <c r="U111" s="32">
        <f t="shared" si="35"/>
        <v>5.666666666666667</v>
      </c>
      <c r="V111" s="32">
        <f t="shared" si="36"/>
        <v>5.666666666666667</v>
      </c>
      <c r="W111" s="32">
        <f t="shared" si="37"/>
        <v>5.666666666666667</v>
      </c>
      <c r="X111" s="32">
        <f t="shared" si="38"/>
        <v>5.666666666666667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f t="shared" si="39"/>
        <v>34</v>
      </c>
      <c r="AF111" s="32">
        <f t="shared" si="40"/>
        <v>447.66666666666663</v>
      </c>
      <c r="AH111" s="34"/>
    </row>
    <row r="112" spans="1:34" s="22" customFormat="1" x14ac:dyDescent="0.2">
      <c r="A112" s="29">
        <v>40544</v>
      </c>
      <c r="B112" s="29" t="s">
        <v>322</v>
      </c>
      <c r="C112" s="13" t="s">
        <v>312</v>
      </c>
      <c r="D112" s="48">
        <v>0.1</v>
      </c>
      <c r="E112" s="29">
        <v>40544</v>
      </c>
      <c r="F112" s="18">
        <v>680</v>
      </c>
      <c r="G112" s="55">
        <v>35</v>
      </c>
      <c r="H112" s="32">
        <f t="shared" si="27"/>
        <v>198.33333333333334</v>
      </c>
      <c r="I112" s="31">
        <f t="shared" si="28"/>
        <v>481.66666666666663</v>
      </c>
      <c r="J112" s="33">
        <v>112.72199999999999</v>
      </c>
      <c r="K112" s="33">
        <v>112.79</v>
      </c>
      <c r="L112" s="33">
        <f t="shared" si="29"/>
        <v>0.99939710967284323</v>
      </c>
      <c r="M112" s="32">
        <f t="shared" si="30"/>
        <v>481.37627449241944</v>
      </c>
      <c r="N112" s="33">
        <f t="shared" si="31"/>
        <v>0.99939710967284323</v>
      </c>
      <c r="O112" s="32">
        <f t="shared" si="32"/>
        <v>481.37627449241944</v>
      </c>
      <c r="P112" s="34">
        <v>120</v>
      </c>
      <c r="Q112" s="34"/>
      <c r="R112" s="34"/>
      <c r="S112" s="32">
        <f t="shared" si="33"/>
        <v>5.666666666666667</v>
      </c>
      <c r="T112" s="32">
        <f t="shared" si="34"/>
        <v>5.666666666666667</v>
      </c>
      <c r="U112" s="32">
        <f t="shared" si="35"/>
        <v>5.666666666666667</v>
      </c>
      <c r="V112" s="32">
        <f t="shared" si="36"/>
        <v>5.666666666666667</v>
      </c>
      <c r="W112" s="32">
        <f t="shared" si="37"/>
        <v>5.666666666666667</v>
      </c>
      <c r="X112" s="32">
        <f t="shared" si="38"/>
        <v>5.666666666666667</v>
      </c>
      <c r="Y112" s="32">
        <v>0</v>
      </c>
      <c r="Z112" s="32">
        <v>0</v>
      </c>
      <c r="AA112" s="32">
        <v>0</v>
      </c>
      <c r="AB112" s="32">
        <v>0</v>
      </c>
      <c r="AC112" s="32">
        <v>0</v>
      </c>
      <c r="AD112" s="32">
        <v>0</v>
      </c>
      <c r="AE112" s="32">
        <f t="shared" si="39"/>
        <v>34</v>
      </c>
      <c r="AF112" s="32">
        <f t="shared" si="40"/>
        <v>447.66666666666663</v>
      </c>
      <c r="AH112" s="34"/>
    </row>
    <row r="113" spans="1:34" s="22" customFormat="1" x14ac:dyDescent="0.2">
      <c r="A113" s="29"/>
      <c r="B113" s="29"/>
      <c r="C113" s="13"/>
      <c r="D113" s="48"/>
      <c r="E113" s="29"/>
      <c r="F113" s="18"/>
      <c r="G113" s="55"/>
      <c r="H113" s="32"/>
      <c r="I113" s="31"/>
      <c r="J113" s="33"/>
      <c r="K113" s="33"/>
      <c r="L113" s="33"/>
      <c r="M113" s="32"/>
      <c r="N113" s="33"/>
      <c r="O113" s="32"/>
      <c r="P113" s="34"/>
      <c r="Q113" s="34"/>
      <c r="R113" s="34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H113" s="34"/>
    </row>
    <row r="114" spans="1:34" ht="13.5" x14ac:dyDescent="0.25">
      <c r="A114" s="15"/>
      <c r="B114" s="41" t="s">
        <v>151</v>
      </c>
      <c r="C114" s="41" t="s">
        <v>26</v>
      </c>
      <c r="D114" s="46"/>
      <c r="E114" s="15"/>
      <c r="F114" s="15"/>
      <c r="G114" s="43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H114" s="15"/>
    </row>
    <row r="115" spans="1:34" ht="13.5" x14ac:dyDescent="0.25">
      <c r="A115" s="15"/>
      <c r="B115" s="41" t="s">
        <v>323</v>
      </c>
      <c r="C115" s="54"/>
      <c r="D115" s="46"/>
      <c r="E115" s="15"/>
      <c r="F115" s="15"/>
      <c r="G115" s="43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H115" s="15"/>
    </row>
    <row r="116" spans="1:34" s="22" customFormat="1" x14ac:dyDescent="0.2">
      <c r="A116" s="29">
        <v>38718</v>
      </c>
      <c r="B116" s="29" t="s">
        <v>324</v>
      </c>
      <c r="C116" s="13" t="s">
        <v>325</v>
      </c>
      <c r="D116" s="48">
        <v>0.33329999999999999</v>
      </c>
      <c r="E116" s="52">
        <v>38718</v>
      </c>
      <c r="F116" s="53">
        <v>2000</v>
      </c>
      <c r="G116" s="55">
        <v>95</v>
      </c>
      <c r="H116" s="32">
        <f>((F116*D116)/12)*G116</f>
        <v>5277.25</v>
      </c>
      <c r="I116" s="31">
        <f>F116-H116</f>
        <v>-3277.25</v>
      </c>
      <c r="J116" s="33">
        <v>112.72199999999999</v>
      </c>
      <c r="K116" s="33">
        <v>112.79</v>
      </c>
      <c r="L116" s="33">
        <f>J116/K116</f>
        <v>0.99939710967284323</v>
      </c>
      <c r="M116" s="32">
        <f>I116*L116</f>
        <v>-3275.2741776753255</v>
      </c>
      <c r="N116" s="33">
        <f>112.722/K116</f>
        <v>0.99939710967284323</v>
      </c>
      <c r="O116" s="32">
        <f>I116*L116</f>
        <v>-3275.2741776753255</v>
      </c>
      <c r="P116" s="34">
        <v>120</v>
      </c>
      <c r="Q116" s="34"/>
      <c r="R116" s="34"/>
      <c r="S116" s="32">
        <f>(D116*F116)/12</f>
        <v>55.550000000000004</v>
      </c>
      <c r="T116" s="32">
        <f>(($F116*D116)/12)</f>
        <v>55.550000000000004</v>
      </c>
      <c r="U116" s="32">
        <f>(($F116*D116)/12)</f>
        <v>55.550000000000004</v>
      </c>
      <c r="V116" s="32">
        <f>(($F116*D116)/12)</f>
        <v>55.550000000000004</v>
      </c>
      <c r="W116" s="32">
        <f>(($F116*D116)/12)</f>
        <v>55.550000000000004</v>
      </c>
      <c r="X116" s="32">
        <f>(($F116*D116)/12)</f>
        <v>55.550000000000004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1</v>
      </c>
      <c r="AH116" s="34"/>
    </row>
    <row r="117" spans="1:34" s="22" customFormat="1" x14ac:dyDescent="0.2">
      <c r="A117" s="70"/>
      <c r="B117" s="70"/>
      <c r="C117" s="14"/>
      <c r="D117" s="71"/>
      <c r="E117" s="72"/>
      <c r="F117" s="73"/>
      <c r="G117" s="74"/>
      <c r="H117" s="75"/>
      <c r="I117" s="76"/>
      <c r="J117" s="77"/>
      <c r="K117" s="77"/>
      <c r="L117" s="77"/>
      <c r="M117" s="75"/>
      <c r="N117" s="77"/>
      <c r="O117" s="75"/>
      <c r="P117" s="78"/>
      <c r="Q117" s="78"/>
      <c r="R117" s="78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H117" s="78"/>
    </row>
    <row r="118" spans="1:34" s="22" customFormat="1" x14ac:dyDescent="0.2">
      <c r="A118" s="70"/>
      <c r="B118" s="70"/>
      <c r="C118" s="14"/>
      <c r="D118" s="71"/>
      <c r="E118" s="72"/>
      <c r="F118" s="73"/>
      <c r="G118" s="74"/>
      <c r="H118" s="75"/>
      <c r="I118" s="76"/>
      <c r="J118" s="77"/>
      <c r="K118" s="77"/>
      <c r="L118" s="77"/>
      <c r="M118" s="75"/>
      <c r="N118" s="77"/>
      <c r="O118" s="75"/>
      <c r="P118" s="78"/>
      <c r="Q118" s="78"/>
      <c r="R118" s="78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H118" s="78"/>
    </row>
    <row r="120" spans="1:34" x14ac:dyDescent="0.2">
      <c r="A120" s="574" t="s">
        <v>327</v>
      </c>
      <c r="B120" s="574"/>
      <c r="C120" s="574"/>
      <c r="D120" s="574"/>
      <c r="E120" s="574"/>
      <c r="F120" s="574"/>
      <c r="G120" s="575"/>
      <c r="H120" s="575"/>
      <c r="I120" s="575"/>
      <c r="J120" s="575"/>
      <c r="K120" s="575"/>
      <c r="L120" s="575"/>
      <c r="M120" s="575"/>
      <c r="N120" s="575"/>
      <c r="O120" s="575"/>
      <c r="P120" s="575"/>
      <c r="Q120" s="575"/>
      <c r="R120" s="575"/>
      <c r="S120" s="575"/>
      <c r="T120" s="575"/>
      <c r="U120" s="575"/>
      <c r="V120" s="575"/>
      <c r="W120" s="575"/>
      <c r="X120" s="575"/>
      <c r="Y120" s="575"/>
      <c r="Z120" s="575"/>
      <c r="AA120" s="575"/>
      <c r="AB120" s="575"/>
      <c r="AC120" s="575"/>
      <c r="AD120" s="575"/>
      <c r="AE120" s="575"/>
      <c r="AF120" s="575"/>
    </row>
    <row r="121" spans="1:34" s="22" customFormat="1" x14ac:dyDescent="0.2">
      <c r="A121" s="29"/>
      <c r="B121" s="41" t="s">
        <v>419</v>
      </c>
      <c r="C121" s="41" t="s">
        <v>420</v>
      </c>
      <c r="D121" s="38"/>
      <c r="E121" s="29"/>
      <c r="F121" s="18"/>
      <c r="G121" s="57"/>
      <c r="H121" s="75"/>
      <c r="I121" s="76"/>
      <c r="J121" s="77"/>
      <c r="K121" s="77"/>
      <c r="L121" s="77"/>
      <c r="M121" s="75"/>
      <c r="N121" s="77"/>
      <c r="O121" s="75"/>
      <c r="P121" s="78"/>
      <c r="Q121" s="78"/>
      <c r="R121" s="78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H121" s="78"/>
    </row>
    <row r="122" spans="1:34" s="22" customFormat="1" x14ac:dyDescent="0.2">
      <c r="A122" s="29"/>
      <c r="B122" s="41" t="s">
        <v>445</v>
      </c>
      <c r="C122" s="13"/>
      <c r="D122" s="38"/>
      <c r="E122" s="29"/>
      <c r="F122" s="18"/>
      <c r="G122" s="57"/>
      <c r="H122" s="75"/>
      <c r="I122" s="76"/>
      <c r="J122" s="77"/>
      <c r="K122" s="77"/>
      <c r="L122" s="77"/>
      <c r="M122" s="75"/>
      <c r="N122" s="77"/>
      <c r="O122" s="75"/>
      <c r="P122" s="78"/>
      <c r="Q122" s="78"/>
      <c r="R122" s="78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H122" s="78"/>
    </row>
    <row r="123" spans="1:34" s="22" customFormat="1" x14ac:dyDescent="0.2">
      <c r="A123" s="29">
        <v>38353</v>
      </c>
      <c r="B123" s="29" t="s">
        <v>422</v>
      </c>
      <c r="C123" s="13" t="s">
        <v>423</v>
      </c>
      <c r="D123" s="48">
        <v>0.1</v>
      </c>
      <c r="E123" s="29">
        <v>38353</v>
      </c>
      <c r="F123" s="18">
        <v>400</v>
      </c>
      <c r="G123" s="74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H123" s="59"/>
    </row>
    <row r="124" spans="1:34" s="22" customFormat="1" x14ac:dyDescent="0.2">
      <c r="A124" s="29">
        <v>38353</v>
      </c>
      <c r="B124" s="29" t="s">
        <v>424</v>
      </c>
      <c r="C124" s="13" t="s">
        <v>423</v>
      </c>
      <c r="D124" s="48">
        <v>0.1</v>
      </c>
      <c r="E124" s="29">
        <v>38353</v>
      </c>
      <c r="F124" s="18">
        <v>400</v>
      </c>
      <c r="G124" s="74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H124" s="59"/>
    </row>
    <row r="125" spans="1:34" s="22" customFormat="1" x14ac:dyDescent="0.2">
      <c r="A125" s="29">
        <v>38353</v>
      </c>
      <c r="B125" s="29" t="s">
        <v>425</v>
      </c>
      <c r="C125" s="13" t="s">
        <v>423</v>
      </c>
      <c r="D125" s="48">
        <v>0.1</v>
      </c>
      <c r="E125" s="29">
        <v>38353</v>
      </c>
      <c r="F125" s="18">
        <v>400</v>
      </c>
      <c r="G125" s="74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H125" s="59"/>
    </row>
    <row r="126" spans="1:34" s="22" customFormat="1" x14ac:dyDescent="0.2">
      <c r="A126" s="29">
        <v>38353</v>
      </c>
      <c r="B126" s="29" t="s">
        <v>426</v>
      </c>
      <c r="C126" s="13" t="s">
        <v>423</v>
      </c>
      <c r="D126" s="48">
        <v>0.1</v>
      </c>
      <c r="E126" s="29">
        <v>38353</v>
      </c>
      <c r="F126" s="18">
        <v>400</v>
      </c>
      <c r="G126" s="74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H126" s="59"/>
    </row>
    <row r="127" spans="1:34" s="22" customFormat="1" x14ac:dyDescent="0.2">
      <c r="A127" s="29">
        <v>38353</v>
      </c>
      <c r="B127" s="29" t="s">
        <v>427</v>
      </c>
      <c r="C127" s="13" t="s">
        <v>423</v>
      </c>
      <c r="D127" s="48">
        <v>0.1</v>
      </c>
      <c r="E127" s="29">
        <v>38353</v>
      </c>
      <c r="F127" s="18">
        <v>400</v>
      </c>
      <c r="G127" s="74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H127" s="59"/>
    </row>
    <row r="128" spans="1:34" s="22" customFormat="1" x14ac:dyDescent="0.2">
      <c r="A128" s="29">
        <v>38353</v>
      </c>
      <c r="B128" s="29" t="s">
        <v>428</v>
      </c>
      <c r="C128" s="13" t="s">
        <v>423</v>
      </c>
      <c r="D128" s="48">
        <v>0.1</v>
      </c>
      <c r="E128" s="29">
        <v>38353</v>
      </c>
      <c r="F128" s="18">
        <v>400</v>
      </c>
      <c r="G128" s="74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H128" s="59"/>
    </row>
    <row r="129" spans="1:34" s="22" customFormat="1" x14ac:dyDescent="0.2">
      <c r="A129" s="29">
        <v>38353</v>
      </c>
      <c r="B129" s="29" t="s">
        <v>429</v>
      </c>
      <c r="C129" s="13" t="s">
        <v>423</v>
      </c>
      <c r="D129" s="48">
        <v>0.1</v>
      </c>
      <c r="E129" s="29">
        <v>38353</v>
      </c>
      <c r="F129" s="18">
        <v>400</v>
      </c>
      <c r="G129" s="74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H129" s="59"/>
    </row>
    <row r="130" spans="1:34" s="22" customFormat="1" x14ac:dyDescent="0.2">
      <c r="A130" s="29">
        <v>38353</v>
      </c>
      <c r="B130" s="29" t="s">
        <v>430</v>
      </c>
      <c r="C130" s="13" t="s">
        <v>423</v>
      </c>
      <c r="D130" s="48">
        <v>0.1</v>
      </c>
      <c r="E130" s="29">
        <v>38353</v>
      </c>
      <c r="F130" s="18">
        <v>400</v>
      </c>
      <c r="G130" s="74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H130" s="59"/>
    </row>
    <row r="131" spans="1:34" s="22" customFormat="1" x14ac:dyDescent="0.2">
      <c r="A131" s="29">
        <v>38353</v>
      </c>
      <c r="B131" s="29" t="s">
        <v>431</v>
      </c>
      <c r="C131" s="13" t="s">
        <v>423</v>
      </c>
      <c r="D131" s="48">
        <v>0.1</v>
      </c>
      <c r="E131" s="29">
        <v>38353</v>
      </c>
      <c r="F131" s="18">
        <v>400</v>
      </c>
      <c r="G131" s="74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H131" s="59"/>
    </row>
    <row r="132" spans="1:34" s="22" customFormat="1" x14ac:dyDescent="0.2">
      <c r="A132" s="29">
        <v>38353</v>
      </c>
      <c r="B132" s="29" t="s">
        <v>432</v>
      </c>
      <c r="C132" s="13" t="s">
        <v>423</v>
      </c>
      <c r="D132" s="48">
        <v>0.1</v>
      </c>
      <c r="E132" s="29">
        <v>38353</v>
      </c>
      <c r="F132" s="18">
        <v>400</v>
      </c>
      <c r="G132" s="74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H132" s="59"/>
    </row>
    <row r="133" spans="1:34" s="22" customFormat="1" x14ac:dyDescent="0.2">
      <c r="A133" s="29">
        <v>38353</v>
      </c>
      <c r="B133" s="29" t="s">
        <v>433</v>
      </c>
      <c r="C133" s="13" t="s">
        <v>423</v>
      </c>
      <c r="D133" s="48">
        <v>0.1</v>
      </c>
      <c r="E133" s="29">
        <v>38353</v>
      </c>
      <c r="F133" s="18">
        <v>400</v>
      </c>
      <c r="G133" s="74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H133" s="59"/>
    </row>
    <row r="134" spans="1:34" s="22" customFormat="1" x14ac:dyDescent="0.2">
      <c r="A134" s="29">
        <v>38353</v>
      </c>
      <c r="B134" s="29" t="s">
        <v>434</v>
      </c>
      <c r="C134" s="13" t="s">
        <v>423</v>
      </c>
      <c r="D134" s="48">
        <v>0.1</v>
      </c>
      <c r="E134" s="29">
        <v>38353</v>
      </c>
      <c r="F134" s="18">
        <v>400</v>
      </c>
      <c r="G134" s="74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H134" s="59"/>
    </row>
    <row r="135" spans="1:34" s="22" customFormat="1" x14ac:dyDescent="0.2">
      <c r="A135" s="29">
        <v>38353</v>
      </c>
      <c r="B135" s="29" t="s">
        <v>435</v>
      </c>
      <c r="C135" s="13" t="s">
        <v>423</v>
      </c>
      <c r="D135" s="48">
        <v>0.1</v>
      </c>
      <c r="E135" s="29">
        <v>38353</v>
      </c>
      <c r="F135" s="18">
        <v>400</v>
      </c>
      <c r="G135" s="74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H135" s="59"/>
    </row>
    <row r="136" spans="1:34" s="22" customFormat="1" x14ac:dyDescent="0.2">
      <c r="A136" s="29">
        <v>38353</v>
      </c>
      <c r="B136" s="29" t="s">
        <v>436</v>
      </c>
      <c r="C136" s="13" t="s">
        <v>423</v>
      </c>
      <c r="D136" s="48">
        <v>0.1</v>
      </c>
      <c r="E136" s="29">
        <v>38353</v>
      </c>
      <c r="F136" s="18">
        <v>400</v>
      </c>
      <c r="G136" s="74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H136" s="59"/>
    </row>
    <row r="137" spans="1:34" s="22" customFormat="1" x14ac:dyDescent="0.2">
      <c r="A137" s="29">
        <v>38353</v>
      </c>
      <c r="B137" s="29" t="s">
        <v>437</v>
      </c>
      <c r="C137" s="13" t="s">
        <v>423</v>
      </c>
      <c r="D137" s="48">
        <v>0.1</v>
      </c>
      <c r="E137" s="29">
        <v>38353</v>
      </c>
      <c r="F137" s="18">
        <v>400</v>
      </c>
      <c r="G137" s="74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H137" s="59"/>
    </row>
    <row r="138" spans="1:34" s="22" customFormat="1" x14ac:dyDescent="0.2">
      <c r="A138" s="29"/>
      <c r="B138" s="41" t="s">
        <v>421</v>
      </c>
      <c r="C138" s="41" t="s">
        <v>402</v>
      </c>
      <c r="D138" s="38"/>
      <c r="E138" s="29"/>
      <c r="F138" s="18"/>
      <c r="G138" s="57"/>
      <c r="H138" s="75"/>
      <c r="I138" s="76"/>
      <c r="J138" s="77"/>
      <c r="K138" s="77"/>
      <c r="L138" s="77"/>
      <c r="M138" s="75"/>
      <c r="N138" s="77"/>
      <c r="O138" s="75"/>
      <c r="P138" s="78"/>
      <c r="Q138" s="78"/>
      <c r="R138" s="78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H138" s="78"/>
    </row>
    <row r="139" spans="1:34" s="22" customFormat="1" x14ac:dyDescent="0.2">
      <c r="A139" s="29"/>
      <c r="B139" s="41" t="s">
        <v>403</v>
      </c>
      <c r="C139" s="13"/>
      <c r="D139" s="38"/>
      <c r="E139" s="29"/>
      <c r="F139" s="18"/>
      <c r="G139" s="57"/>
      <c r="H139" s="75"/>
      <c r="I139" s="76"/>
      <c r="J139" s="77"/>
      <c r="K139" s="77"/>
      <c r="L139" s="77"/>
      <c r="M139" s="75"/>
      <c r="N139" s="77"/>
      <c r="O139" s="75"/>
      <c r="P139" s="78"/>
      <c r="Q139" s="78"/>
      <c r="R139" s="78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H139" s="78"/>
    </row>
    <row r="140" spans="1:34" s="22" customFormat="1" x14ac:dyDescent="0.2">
      <c r="A140" s="29">
        <v>41710</v>
      </c>
      <c r="B140" s="29" t="s">
        <v>404</v>
      </c>
      <c r="C140" s="13" t="s">
        <v>405</v>
      </c>
      <c r="D140" s="48">
        <v>0.1</v>
      </c>
      <c r="E140" s="29">
        <v>41710</v>
      </c>
      <c r="F140" s="18">
        <v>6912.6</v>
      </c>
      <c r="G140" s="74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H140" s="59"/>
    </row>
    <row r="141" spans="1:34" s="22" customFormat="1" x14ac:dyDescent="0.2">
      <c r="A141" s="29">
        <v>41710</v>
      </c>
      <c r="B141" s="29" t="s">
        <v>406</v>
      </c>
      <c r="C141" s="13" t="s">
        <v>405</v>
      </c>
      <c r="D141" s="48">
        <v>0.1</v>
      </c>
      <c r="E141" s="29">
        <v>41710</v>
      </c>
      <c r="F141" s="18">
        <v>6912.6</v>
      </c>
      <c r="G141" s="74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H141" s="59"/>
    </row>
    <row r="142" spans="1:34" s="22" customFormat="1" x14ac:dyDescent="0.2">
      <c r="A142" s="29">
        <v>41710</v>
      </c>
      <c r="B142" s="29" t="s">
        <v>407</v>
      </c>
      <c r="C142" s="13" t="s">
        <v>405</v>
      </c>
      <c r="D142" s="48">
        <v>0.1</v>
      </c>
      <c r="E142" s="29">
        <v>41710</v>
      </c>
      <c r="F142" s="18">
        <v>6912.6</v>
      </c>
      <c r="G142" s="74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H142" s="59"/>
    </row>
    <row r="143" spans="1:34" s="22" customFormat="1" x14ac:dyDescent="0.2">
      <c r="A143" s="29">
        <v>41710</v>
      </c>
      <c r="B143" s="29" t="s">
        <v>408</v>
      </c>
      <c r="C143" s="13" t="s">
        <v>405</v>
      </c>
      <c r="D143" s="48">
        <v>0.1</v>
      </c>
      <c r="E143" s="29">
        <v>41710</v>
      </c>
      <c r="F143" s="18">
        <v>6912.6</v>
      </c>
      <c r="G143" s="74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H143" s="59"/>
    </row>
    <row r="144" spans="1:34" s="22" customFormat="1" x14ac:dyDescent="0.2">
      <c r="A144" s="29">
        <v>41710</v>
      </c>
      <c r="B144" s="29" t="s">
        <v>409</v>
      </c>
      <c r="C144" s="13" t="s">
        <v>405</v>
      </c>
      <c r="D144" s="48">
        <v>0.1</v>
      </c>
      <c r="E144" s="29">
        <v>41710</v>
      </c>
      <c r="F144" s="18">
        <v>6912.6</v>
      </c>
      <c r="G144" s="74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H144" s="59"/>
    </row>
    <row r="145" spans="1:34" s="22" customFormat="1" x14ac:dyDescent="0.2">
      <c r="A145" s="29">
        <v>41710</v>
      </c>
      <c r="B145" s="29" t="s">
        <v>410</v>
      </c>
      <c r="C145" s="13" t="s">
        <v>405</v>
      </c>
      <c r="D145" s="48">
        <v>0.1</v>
      </c>
      <c r="E145" s="29">
        <v>41710</v>
      </c>
      <c r="F145" s="18">
        <v>6912.6</v>
      </c>
      <c r="G145" s="74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H145" s="59"/>
    </row>
    <row r="146" spans="1:34" s="22" customFormat="1" x14ac:dyDescent="0.2">
      <c r="A146" s="29">
        <v>41710</v>
      </c>
      <c r="B146" s="29" t="s">
        <v>411</v>
      </c>
      <c r="C146" s="13" t="s">
        <v>405</v>
      </c>
      <c r="D146" s="48">
        <v>0.1</v>
      </c>
      <c r="E146" s="29">
        <v>41710</v>
      </c>
      <c r="F146" s="18">
        <v>6912.6</v>
      </c>
      <c r="G146" s="74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H146" s="59"/>
    </row>
    <row r="147" spans="1:34" s="22" customFormat="1" x14ac:dyDescent="0.2">
      <c r="A147" s="29">
        <v>41710</v>
      </c>
      <c r="B147" s="29" t="s">
        <v>412</v>
      </c>
      <c r="C147" s="13" t="s">
        <v>405</v>
      </c>
      <c r="D147" s="48">
        <v>0.1</v>
      </c>
      <c r="E147" s="29">
        <v>41710</v>
      </c>
      <c r="F147" s="18">
        <v>6912.6</v>
      </c>
      <c r="G147" s="74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H147" s="59"/>
    </row>
    <row r="148" spans="1:34" s="22" customFormat="1" x14ac:dyDescent="0.2">
      <c r="A148" s="29">
        <v>41710</v>
      </c>
      <c r="B148" s="29" t="s">
        <v>413</v>
      </c>
      <c r="C148" s="13" t="s">
        <v>405</v>
      </c>
      <c r="D148" s="48">
        <v>0.1</v>
      </c>
      <c r="E148" s="29">
        <v>41710</v>
      </c>
      <c r="F148" s="18">
        <v>6912.6</v>
      </c>
      <c r="G148" s="74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H148" s="59"/>
    </row>
    <row r="149" spans="1:34" s="22" customFormat="1" x14ac:dyDescent="0.2">
      <c r="A149" s="29">
        <v>41710</v>
      </c>
      <c r="B149" s="29" t="s">
        <v>414</v>
      </c>
      <c r="C149" s="13" t="s">
        <v>405</v>
      </c>
      <c r="D149" s="48">
        <v>0.1</v>
      </c>
      <c r="E149" s="29">
        <v>41710</v>
      </c>
      <c r="F149" s="18">
        <v>6912.6</v>
      </c>
      <c r="G149" s="74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H149" s="59"/>
    </row>
    <row r="150" spans="1:34" s="22" customFormat="1" x14ac:dyDescent="0.2">
      <c r="A150" s="29">
        <v>41710</v>
      </c>
      <c r="B150" s="29" t="s">
        <v>415</v>
      </c>
      <c r="C150" s="13" t="s">
        <v>405</v>
      </c>
      <c r="D150" s="48">
        <v>0.1</v>
      </c>
      <c r="E150" s="29">
        <v>41710</v>
      </c>
      <c r="F150" s="18">
        <v>6912.6</v>
      </c>
      <c r="G150" s="74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H150" s="59"/>
    </row>
    <row r="151" spans="1:34" s="22" customFormat="1" x14ac:dyDescent="0.2">
      <c r="A151" s="29"/>
      <c r="B151" s="41" t="s">
        <v>421</v>
      </c>
      <c r="C151" s="41" t="s">
        <v>439</v>
      </c>
      <c r="D151" s="38"/>
      <c r="E151" s="29"/>
      <c r="F151" s="18"/>
      <c r="G151" s="57"/>
      <c r="H151" s="75"/>
      <c r="I151" s="76"/>
      <c r="J151" s="77"/>
      <c r="K151" s="77"/>
      <c r="L151" s="77"/>
      <c r="M151" s="75"/>
      <c r="N151" s="77"/>
      <c r="O151" s="75"/>
      <c r="P151" s="78"/>
      <c r="Q151" s="78"/>
      <c r="R151" s="78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H151" s="78"/>
    </row>
    <row r="152" spans="1:34" s="22" customFormat="1" x14ac:dyDescent="0.2">
      <c r="A152" s="29"/>
      <c r="B152" s="41" t="s">
        <v>438</v>
      </c>
      <c r="C152" s="13"/>
      <c r="D152" s="38"/>
      <c r="E152" s="29"/>
      <c r="F152" s="18"/>
      <c r="G152" s="57"/>
      <c r="H152" s="75"/>
      <c r="I152" s="76"/>
      <c r="J152" s="77"/>
      <c r="K152" s="77"/>
      <c r="L152" s="77"/>
      <c r="M152" s="75"/>
      <c r="N152" s="77"/>
      <c r="O152" s="75"/>
      <c r="P152" s="78"/>
      <c r="Q152" s="78"/>
      <c r="R152" s="78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H152" s="78"/>
    </row>
    <row r="153" spans="1:34" s="22" customFormat="1" x14ac:dyDescent="0.2">
      <c r="A153" s="29">
        <v>36892</v>
      </c>
      <c r="B153" s="29" t="s">
        <v>416</v>
      </c>
      <c r="C153" s="13" t="s">
        <v>417</v>
      </c>
      <c r="D153" s="48">
        <v>0.1</v>
      </c>
      <c r="E153" s="29">
        <v>36892</v>
      </c>
      <c r="F153" s="18">
        <v>1099</v>
      </c>
      <c r="G153" s="74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H153" s="59"/>
    </row>
    <row r="154" spans="1:34" s="22" customFormat="1" x14ac:dyDescent="0.2">
      <c r="A154" s="29">
        <v>36892</v>
      </c>
      <c r="B154" s="29" t="s">
        <v>416</v>
      </c>
      <c r="C154" s="13" t="s">
        <v>418</v>
      </c>
      <c r="D154" s="48">
        <v>0.1</v>
      </c>
      <c r="E154" s="29">
        <v>36892</v>
      </c>
      <c r="F154" s="18">
        <v>1400</v>
      </c>
      <c r="G154" s="74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H154" s="59"/>
    </row>
    <row r="155" spans="1:34" s="22" customFormat="1" x14ac:dyDescent="0.2">
      <c r="A155" s="29">
        <v>37257</v>
      </c>
      <c r="B155" s="29" t="s">
        <v>416</v>
      </c>
      <c r="C155" s="13" t="s">
        <v>440</v>
      </c>
      <c r="D155" s="48">
        <v>0.1</v>
      </c>
      <c r="E155" s="29">
        <v>37257</v>
      </c>
      <c r="F155" s="18">
        <v>1500</v>
      </c>
      <c r="G155" s="74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H155" s="59"/>
    </row>
    <row r="156" spans="1:34" s="22" customFormat="1" x14ac:dyDescent="0.2">
      <c r="A156" s="29">
        <v>36892</v>
      </c>
      <c r="B156" s="29" t="s">
        <v>416</v>
      </c>
      <c r="C156" s="13" t="s">
        <v>417</v>
      </c>
      <c r="D156" s="48">
        <v>0.1</v>
      </c>
      <c r="E156" s="29">
        <v>36892</v>
      </c>
      <c r="F156" s="18">
        <v>2000</v>
      </c>
      <c r="G156" s="74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H156" s="59"/>
    </row>
    <row r="157" spans="1:34" s="22" customFormat="1" x14ac:dyDescent="0.2">
      <c r="A157" s="29">
        <v>36892</v>
      </c>
      <c r="B157" s="29" t="s">
        <v>416</v>
      </c>
      <c r="C157" s="13" t="s">
        <v>417</v>
      </c>
      <c r="D157" s="48">
        <v>0.1</v>
      </c>
      <c r="E157" s="29">
        <v>36892</v>
      </c>
      <c r="F157" s="18">
        <v>1900</v>
      </c>
      <c r="G157" s="74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H157" s="59"/>
    </row>
    <row r="158" spans="1:34" s="22" customFormat="1" x14ac:dyDescent="0.2">
      <c r="A158" s="29">
        <v>36892</v>
      </c>
      <c r="B158" s="29" t="s">
        <v>416</v>
      </c>
      <c r="C158" s="13" t="s">
        <v>417</v>
      </c>
      <c r="D158" s="48">
        <v>0.1</v>
      </c>
      <c r="E158" s="29">
        <v>36892</v>
      </c>
      <c r="F158" s="18">
        <v>1900</v>
      </c>
      <c r="G158" s="74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H158" s="59"/>
    </row>
    <row r="159" spans="1:34" s="22" customFormat="1" x14ac:dyDescent="0.2">
      <c r="A159" s="29">
        <v>36892</v>
      </c>
      <c r="B159" s="29" t="s">
        <v>416</v>
      </c>
      <c r="C159" s="13" t="s">
        <v>441</v>
      </c>
      <c r="D159" s="48">
        <v>0.1</v>
      </c>
      <c r="E159" s="29">
        <v>36892</v>
      </c>
      <c r="F159" s="18">
        <v>1900</v>
      </c>
      <c r="G159" s="74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H159" s="59"/>
    </row>
    <row r="160" spans="1:34" s="22" customFormat="1" x14ac:dyDescent="0.2">
      <c r="A160" s="29">
        <v>36892</v>
      </c>
      <c r="B160" s="29" t="s">
        <v>416</v>
      </c>
      <c r="C160" s="13" t="s">
        <v>417</v>
      </c>
      <c r="D160" s="48">
        <v>0.1</v>
      </c>
      <c r="E160" s="29">
        <v>36892</v>
      </c>
      <c r="F160" s="18">
        <v>1900</v>
      </c>
      <c r="G160" s="74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H160" s="59"/>
    </row>
    <row r="161" spans="1:34" s="22" customFormat="1" x14ac:dyDescent="0.2">
      <c r="A161" s="29">
        <v>36892</v>
      </c>
      <c r="B161" s="29" t="s">
        <v>416</v>
      </c>
      <c r="C161" s="13" t="s">
        <v>417</v>
      </c>
      <c r="D161" s="48">
        <v>0.1</v>
      </c>
      <c r="E161" s="29">
        <v>36892</v>
      </c>
      <c r="F161" s="18">
        <v>1900</v>
      </c>
      <c r="G161" s="74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H161" s="59"/>
    </row>
    <row r="162" spans="1:34" s="22" customFormat="1" x14ac:dyDescent="0.2">
      <c r="A162" s="29">
        <v>39448</v>
      </c>
      <c r="B162" s="29" t="s">
        <v>416</v>
      </c>
      <c r="C162" s="13" t="s">
        <v>442</v>
      </c>
      <c r="D162" s="48">
        <v>0.1</v>
      </c>
      <c r="E162" s="29">
        <v>39448</v>
      </c>
      <c r="F162" s="18">
        <v>1900</v>
      </c>
      <c r="G162" s="74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H162" s="59"/>
    </row>
    <row r="163" spans="1:34" s="22" customFormat="1" x14ac:dyDescent="0.2">
      <c r="A163" s="29">
        <v>40179</v>
      </c>
      <c r="B163" s="29" t="s">
        <v>416</v>
      </c>
      <c r="C163" s="13" t="s">
        <v>443</v>
      </c>
      <c r="D163" s="48">
        <v>0.1</v>
      </c>
      <c r="E163" s="29">
        <v>40179</v>
      </c>
      <c r="F163" s="18">
        <v>1990</v>
      </c>
      <c r="G163" s="74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H163" s="59"/>
    </row>
    <row r="164" spans="1:34" s="22" customFormat="1" x14ac:dyDescent="0.2">
      <c r="A164" s="29">
        <v>40179</v>
      </c>
      <c r="B164" s="29" t="s">
        <v>416</v>
      </c>
      <c r="C164" s="13" t="s">
        <v>443</v>
      </c>
      <c r="D164" s="48">
        <v>0.1</v>
      </c>
      <c r="E164" s="29">
        <v>40179</v>
      </c>
      <c r="F164" s="18">
        <v>1990</v>
      </c>
      <c r="G164" s="74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H164" s="59"/>
    </row>
    <row r="165" spans="1:34" s="22" customFormat="1" x14ac:dyDescent="0.2">
      <c r="A165" s="29">
        <v>35796</v>
      </c>
      <c r="B165" s="29" t="s">
        <v>416</v>
      </c>
      <c r="C165" s="13" t="s">
        <v>444</v>
      </c>
      <c r="D165" s="48">
        <v>0.1</v>
      </c>
      <c r="E165" s="29">
        <v>35796</v>
      </c>
      <c r="F165" s="18">
        <v>1600</v>
      </c>
      <c r="G165" s="74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H165" s="59"/>
    </row>
    <row r="166" spans="1:34" s="22" customFormat="1" x14ac:dyDescent="0.2">
      <c r="A166" s="29">
        <v>40179</v>
      </c>
      <c r="B166" s="29" t="s">
        <v>416</v>
      </c>
      <c r="C166" s="13" t="s">
        <v>443</v>
      </c>
      <c r="D166" s="48">
        <v>0.1</v>
      </c>
      <c r="E166" s="29">
        <v>40179</v>
      </c>
      <c r="F166" s="18">
        <v>1990</v>
      </c>
      <c r="G166" s="74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H166" s="59"/>
    </row>
    <row r="167" spans="1:34" s="22" customFormat="1" x14ac:dyDescent="0.2">
      <c r="A167" s="29">
        <v>40179</v>
      </c>
      <c r="B167" s="29" t="s">
        <v>416</v>
      </c>
      <c r="C167" s="13" t="s">
        <v>443</v>
      </c>
      <c r="D167" s="48">
        <v>0.1</v>
      </c>
      <c r="E167" s="29">
        <v>40179</v>
      </c>
      <c r="F167" s="18">
        <v>1990</v>
      </c>
      <c r="G167" s="74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H167" s="59"/>
    </row>
    <row r="168" spans="1:34" s="22" customFormat="1" x14ac:dyDescent="0.2">
      <c r="A168" s="29">
        <v>40179</v>
      </c>
      <c r="B168" s="29" t="s">
        <v>416</v>
      </c>
      <c r="C168" s="13" t="s">
        <v>443</v>
      </c>
      <c r="D168" s="48">
        <v>0.1</v>
      </c>
      <c r="E168" s="29">
        <v>40179</v>
      </c>
      <c r="F168" s="18">
        <v>1990</v>
      </c>
      <c r="G168" s="74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H168" s="59"/>
    </row>
    <row r="169" spans="1:34" s="22" customFormat="1" x14ac:dyDescent="0.2">
      <c r="A169" s="29">
        <v>40179</v>
      </c>
      <c r="B169" s="29" t="s">
        <v>416</v>
      </c>
      <c r="C169" s="13" t="s">
        <v>443</v>
      </c>
      <c r="D169" s="48">
        <v>0.1</v>
      </c>
      <c r="E169" s="29">
        <v>40179</v>
      </c>
      <c r="F169" s="18">
        <v>1990</v>
      </c>
      <c r="G169" s="74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H169" s="59"/>
    </row>
  </sheetData>
  <mergeCells count="12">
    <mergeCell ref="A120:AF120"/>
    <mergeCell ref="B3:C3"/>
    <mergeCell ref="A9:A10"/>
    <mergeCell ref="B9:B10"/>
    <mergeCell ref="C9:C10"/>
    <mergeCell ref="D9:D10"/>
    <mergeCell ref="F9:F10"/>
    <mergeCell ref="G9:G10"/>
    <mergeCell ref="H9:H10"/>
    <mergeCell ref="A8:AF8"/>
    <mergeCell ref="A66:AF66"/>
    <mergeCell ref="E9:E10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P69"/>
  <sheetViews>
    <sheetView topLeftCell="A4" zoomScale="160" zoomScaleNormal="160" workbookViewId="0">
      <pane ySplit="9" topLeftCell="A13" activePane="bottomLeft" state="frozen"/>
      <selection activeCell="A4" sqref="A4"/>
      <selection pane="bottomLeft" activeCell="B19" sqref="B1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5703125" style="28" customWidth="1"/>
    <col min="7" max="7" width="8.42578125" style="164" customWidth="1"/>
    <col min="8" max="8" width="8.5703125" style="27" customWidth="1"/>
    <col min="9" max="10" width="8.85546875" customWidth="1"/>
    <col min="11" max="11" width="10.140625" style="150" customWidth="1"/>
    <col min="13" max="13" width="8.7109375" customWidth="1"/>
    <col min="14" max="14" width="8.7109375" style="121" customWidth="1"/>
    <col min="15" max="15" width="7.42578125" customWidth="1"/>
    <col min="16" max="16" width="9.7109375" customWidth="1"/>
    <col min="17" max="17" width="8.85546875" customWidth="1"/>
    <col min="18" max="18" width="8.42578125" customWidth="1"/>
    <col min="19" max="19" width="8.140625" customWidth="1"/>
    <col min="20" max="30" width="7.7109375" customWidth="1"/>
    <col min="31" max="31" width="8.7109375" bestFit="1" customWidth="1"/>
    <col min="32" max="32" width="10.7109375" customWidth="1"/>
    <col min="33" max="33" width="10.85546875" style="113" customWidth="1"/>
    <col min="34" max="34" width="11.42578125" hidden="1" customWidth="1"/>
  </cols>
  <sheetData>
    <row r="1" spans="1:198" x14ac:dyDescent="0.2">
      <c r="A1" s="137" t="s">
        <v>493</v>
      </c>
      <c r="B1" s="142" t="s">
        <v>29</v>
      </c>
      <c r="C1" s="137"/>
      <c r="D1" s="138"/>
      <c r="E1" s="138"/>
      <c r="F1" s="136"/>
      <c r="G1" s="161"/>
      <c r="H1" s="138"/>
      <c r="I1" s="139"/>
      <c r="J1" s="139"/>
      <c r="K1" s="147"/>
      <c r="L1" s="139"/>
      <c r="M1" s="139"/>
      <c r="N1" s="140"/>
      <c r="O1" s="139"/>
      <c r="P1" s="139"/>
      <c r="Q1" s="139"/>
      <c r="R1" s="139"/>
      <c r="S1" s="139"/>
      <c r="T1" s="139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9"/>
      <c r="AF1" s="137"/>
      <c r="AG1" s="141"/>
    </row>
    <row r="2" spans="1:198" x14ac:dyDescent="0.2">
      <c r="A2" s="137"/>
      <c r="B2" s="142" t="s">
        <v>455</v>
      </c>
      <c r="C2" s="137"/>
      <c r="D2" s="138"/>
      <c r="E2" s="138"/>
      <c r="F2" s="136"/>
      <c r="G2" s="161"/>
      <c r="H2" s="138"/>
      <c r="I2" s="139"/>
      <c r="J2" s="139"/>
      <c r="K2" s="147"/>
      <c r="L2" s="139"/>
      <c r="M2" s="139"/>
      <c r="N2" s="140"/>
      <c r="O2" s="139"/>
      <c r="P2" s="139"/>
      <c r="Q2" s="139"/>
      <c r="R2" s="139"/>
      <c r="S2" s="139"/>
      <c r="T2" s="139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41"/>
    </row>
    <row r="3" spans="1:198" x14ac:dyDescent="0.2">
      <c r="A3" s="137"/>
      <c r="B3" s="137"/>
      <c r="C3" s="142"/>
      <c r="D3" s="143"/>
      <c r="E3" s="138"/>
      <c r="F3" s="142"/>
      <c r="G3" s="162"/>
      <c r="H3" s="159"/>
      <c r="I3" s="139"/>
      <c r="J3" s="139"/>
      <c r="K3" s="148"/>
      <c r="L3" s="139"/>
      <c r="M3" s="139"/>
      <c r="N3" s="140"/>
      <c r="O3" s="139"/>
      <c r="P3" s="139"/>
      <c r="Q3" s="139"/>
      <c r="R3" s="139"/>
      <c r="S3" s="139"/>
      <c r="T3" s="139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41"/>
    </row>
    <row r="4" spans="1:198" x14ac:dyDescent="0.2">
      <c r="A4" s="137"/>
      <c r="B4" s="137" t="s">
        <v>452</v>
      </c>
      <c r="C4" s="140"/>
      <c r="D4" s="139"/>
      <c r="E4" s="139"/>
      <c r="F4" s="139"/>
      <c r="G4" s="139"/>
      <c r="H4" s="139"/>
      <c r="I4" s="139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41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41"/>
    </row>
    <row r="5" spans="1:198" x14ac:dyDescent="0.2">
      <c r="A5" s="137"/>
      <c r="B5" s="144" t="s">
        <v>575</v>
      </c>
      <c r="C5" s="140"/>
      <c r="D5" s="139"/>
      <c r="E5" s="139"/>
      <c r="F5" s="139"/>
      <c r="G5" s="139"/>
      <c r="H5" s="139"/>
      <c r="I5" s="139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41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41"/>
    </row>
    <row r="6" spans="1:198" x14ac:dyDescent="0.2">
      <c r="A6" s="137"/>
      <c r="B6" s="137" t="s">
        <v>453</v>
      </c>
      <c r="C6" s="140"/>
      <c r="D6" s="139"/>
      <c r="E6" s="139"/>
      <c r="F6" s="139"/>
      <c r="G6" s="139"/>
      <c r="H6" s="139"/>
      <c r="I6" s="139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41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41"/>
    </row>
    <row r="7" spans="1:198" x14ac:dyDescent="0.2">
      <c r="A7" s="137"/>
      <c r="B7" s="137"/>
      <c r="C7" s="140"/>
      <c r="D7" s="139"/>
      <c r="E7" s="139"/>
      <c r="F7" s="139"/>
      <c r="G7" s="139"/>
      <c r="H7" s="139"/>
      <c r="I7" s="139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41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41"/>
    </row>
    <row r="8" spans="1:198" s="22" customFormat="1" x14ac:dyDescent="0.2">
      <c r="D8" s="80"/>
      <c r="E8" s="80"/>
      <c r="F8" s="79"/>
      <c r="G8" s="163"/>
      <c r="H8" s="80"/>
      <c r="I8" s="81"/>
      <c r="J8" s="81"/>
      <c r="K8" s="149"/>
      <c r="L8" s="81"/>
      <c r="M8" s="81"/>
      <c r="N8" s="120"/>
      <c r="O8" s="81"/>
      <c r="P8" s="81"/>
      <c r="Q8" s="81"/>
      <c r="R8" s="81"/>
      <c r="S8" s="81"/>
      <c r="T8" s="81"/>
      <c r="AG8" s="112"/>
    </row>
    <row r="9" spans="1:198" s="22" customFormat="1" ht="18.75" customHeight="1" x14ac:dyDescent="0.2">
      <c r="D9" s="80"/>
      <c r="E9" s="80"/>
      <c r="F9" s="79"/>
      <c r="G9" s="163"/>
      <c r="H9" s="80"/>
      <c r="K9" s="149"/>
      <c r="L9" s="81"/>
      <c r="M9" s="81"/>
      <c r="N9" s="120"/>
      <c r="O9" s="81"/>
      <c r="P9" s="81"/>
      <c r="Q9" s="581" t="s">
        <v>496</v>
      </c>
      <c r="R9" s="581"/>
      <c r="S9" s="581"/>
      <c r="T9" s="81"/>
      <c r="AG9" s="112"/>
    </row>
    <row r="10" spans="1:198" ht="20.25" customHeight="1" x14ac:dyDescent="0.2">
      <c r="Q10" s="581"/>
      <c r="R10" s="581"/>
      <c r="S10" s="581"/>
    </row>
    <row r="11" spans="1:198" ht="38.25" x14ac:dyDescent="0.25">
      <c r="A11" s="582" t="s">
        <v>60</v>
      </c>
      <c r="B11" s="582" t="s">
        <v>0</v>
      </c>
      <c r="C11" s="220" t="s">
        <v>468</v>
      </c>
      <c r="D11" s="220" t="s">
        <v>449</v>
      </c>
      <c r="E11" s="584" t="s">
        <v>58</v>
      </c>
      <c r="F11" s="582" t="s">
        <v>59</v>
      </c>
      <c r="G11" s="586" t="s">
        <v>1</v>
      </c>
      <c r="H11" s="584" t="s">
        <v>30</v>
      </c>
      <c r="I11" s="36" t="s">
        <v>83</v>
      </c>
      <c r="J11" s="131" t="s">
        <v>450</v>
      </c>
      <c r="K11" s="586" t="s">
        <v>65</v>
      </c>
      <c r="L11" s="35" t="s">
        <v>2</v>
      </c>
      <c r="M11" s="35" t="s">
        <v>16</v>
      </c>
      <c r="N11" s="122" t="s">
        <v>16</v>
      </c>
      <c r="O11" s="35" t="s">
        <v>17</v>
      </c>
      <c r="P11" s="35" t="s">
        <v>18</v>
      </c>
      <c r="Q11" s="36" t="s">
        <v>83</v>
      </c>
      <c r="R11" s="35" t="s">
        <v>458</v>
      </c>
      <c r="S11" s="36" t="s">
        <v>83</v>
      </c>
      <c r="T11" s="35" t="s">
        <v>3</v>
      </c>
      <c r="U11" s="35" t="s">
        <v>4</v>
      </c>
      <c r="V11" s="35" t="s">
        <v>5</v>
      </c>
      <c r="W11" s="35" t="s">
        <v>6</v>
      </c>
      <c r="X11" s="35" t="s">
        <v>7</v>
      </c>
      <c r="Y11" s="35" t="s">
        <v>8</v>
      </c>
      <c r="Z11" s="35" t="s">
        <v>9</v>
      </c>
      <c r="AA11" s="35" t="s">
        <v>10</v>
      </c>
      <c r="AB11" s="35" t="s">
        <v>11</v>
      </c>
      <c r="AC11" s="35" t="s">
        <v>12</v>
      </c>
      <c r="AD11" s="35" t="s">
        <v>13</v>
      </c>
      <c r="AE11" s="35" t="s">
        <v>14</v>
      </c>
      <c r="AF11" s="35" t="s">
        <v>15</v>
      </c>
      <c r="AG11" s="114" t="s">
        <v>66</v>
      </c>
    </row>
    <row r="12" spans="1:198" ht="31.5" customHeight="1" x14ac:dyDescent="0.25">
      <c r="A12" s="583"/>
      <c r="B12" s="583"/>
      <c r="C12" s="175" t="s">
        <v>575</v>
      </c>
      <c r="D12" s="221"/>
      <c r="E12" s="585"/>
      <c r="F12" s="583" t="s">
        <v>19</v>
      </c>
      <c r="G12" s="587"/>
      <c r="H12" s="585"/>
      <c r="I12" s="37" t="s">
        <v>84</v>
      </c>
      <c r="J12" s="37" t="s">
        <v>84</v>
      </c>
      <c r="K12" s="587">
        <v>41639</v>
      </c>
      <c r="L12" s="37" t="s">
        <v>20</v>
      </c>
      <c r="M12" s="37" t="s">
        <v>21</v>
      </c>
      <c r="N12" s="123" t="s">
        <v>22</v>
      </c>
      <c r="O12" s="37" t="s">
        <v>23</v>
      </c>
      <c r="P12" s="37" t="s">
        <v>24</v>
      </c>
      <c r="Q12" s="37" t="s">
        <v>84</v>
      </c>
      <c r="R12" s="37"/>
      <c r="S12" s="82" t="s">
        <v>448</v>
      </c>
      <c r="T12" s="37">
        <v>2014</v>
      </c>
      <c r="U12" s="37">
        <v>2014</v>
      </c>
      <c r="V12" s="37">
        <v>2014</v>
      </c>
      <c r="W12" s="37">
        <v>2014</v>
      </c>
      <c r="X12" s="37">
        <v>2014</v>
      </c>
      <c r="Y12" s="37">
        <v>2014</v>
      </c>
      <c r="Z12" s="37">
        <v>2014</v>
      </c>
      <c r="AA12" s="37">
        <v>2014</v>
      </c>
      <c r="AB12" s="37">
        <v>2014</v>
      </c>
      <c r="AC12" s="37">
        <v>2014</v>
      </c>
      <c r="AD12" s="37">
        <v>2014</v>
      </c>
      <c r="AE12" s="37">
        <v>2014</v>
      </c>
      <c r="AF12" s="37">
        <v>2014</v>
      </c>
      <c r="AG12" s="37" t="s">
        <v>67</v>
      </c>
    </row>
    <row r="13" spans="1:198" s="22" customFormat="1" ht="13.5" x14ac:dyDescent="0.25">
      <c r="A13" s="46"/>
      <c r="B13" s="15"/>
      <c r="C13" s="87"/>
      <c r="D13" s="101"/>
      <c r="E13" s="181"/>
      <c r="F13" s="182"/>
      <c r="G13" s="11"/>
      <c r="H13" s="90"/>
      <c r="I13" s="101"/>
      <c r="J13" s="101"/>
      <c r="K13" s="193"/>
      <c r="L13" s="99"/>
      <c r="M13" s="100"/>
      <c r="N13" s="125"/>
      <c r="O13" s="100"/>
      <c r="P13" s="98"/>
      <c r="Q13" s="101"/>
      <c r="R13" s="98"/>
      <c r="S13" s="101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116"/>
      <c r="AH13" s="168"/>
    </row>
    <row r="14" spans="1:198" x14ac:dyDescent="0.2">
      <c r="A14" s="41" t="s">
        <v>68</v>
      </c>
      <c r="B14" s="41"/>
      <c r="C14" s="178"/>
      <c r="D14" s="157"/>
      <c r="E14" s="157"/>
      <c r="F14" s="171"/>
      <c r="G14" s="11"/>
      <c r="H14" s="179"/>
      <c r="I14" s="12"/>
      <c r="J14" s="12"/>
      <c r="K14" s="194"/>
      <c r="L14" s="107"/>
      <c r="M14" s="108"/>
      <c r="N14" s="127"/>
      <c r="O14" s="108"/>
      <c r="P14" s="106"/>
      <c r="Q14" s="12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8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</row>
    <row r="15" spans="1:198" s="22" customFormat="1" x14ac:dyDescent="0.2">
      <c r="A15" s="41" t="s">
        <v>69</v>
      </c>
      <c r="B15" s="54"/>
      <c r="C15" s="87"/>
      <c r="D15" s="101"/>
      <c r="E15" s="184"/>
      <c r="F15" s="182"/>
      <c r="G15" s="183"/>
      <c r="H15" s="90"/>
      <c r="I15" s="101"/>
      <c r="J15" s="101"/>
      <c r="K15" s="193"/>
      <c r="L15" s="99"/>
      <c r="M15" s="100"/>
      <c r="N15" s="125"/>
      <c r="O15" s="100"/>
      <c r="P15" s="98"/>
      <c r="Q15" s="101"/>
      <c r="R15" s="160">
        <v>3232</v>
      </c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>
        <v>1263</v>
      </c>
      <c r="AG15" s="160">
        <v>1241</v>
      </c>
      <c r="AH15" s="168"/>
    </row>
    <row r="16" spans="1:198" s="22" customFormat="1" x14ac:dyDescent="0.2">
      <c r="A16" s="171" t="s">
        <v>577</v>
      </c>
      <c r="B16" s="145" t="s">
        <v>576</v>
      </c>
      <c r="C16" s="87" t="s">
        <v>575</v>
      </c>
      <c r="D16" s="101">
        <v>3</v>
      </c>
      <c r="E16" s="48">
        <v>0.33329999999999999</v>
      </c>
      <c r="F16" s="29">
        <v>41640</v>
      </c>
      <c r="G16" s="209">
        <v>899</v>
      </c>
      <c r="H16" s="190">
        <v>11</v>
      </c>
      <c r="I16" s="101">
        <v>36</v>
      </c>
      <c r="J16" s="101">
        <f>I16-H16</f>
        <v>25</v>
      </c>
      <c r="K16" s="152">
        <f>((G16*E16)/12)*H16</f>
        <v>274.66697499999998</v>
      </c>
      <c r="L16" s="99">
        <f t="shared" ref="L16:L23" si="0">G16-K16</f>
        <v>624.33302500000002</v>
      </c>
      <c r="M16" s="100">
        <v>112.72199999999999</v>
      </c>
      <c r="N16" s="100">
        <v>107.678</v>
      </c>
      <c r="O16" s="100">
        <f>M16/N16</f>
        <v>1.0468433663329557</v>
      </c>
      <c r="P16" s="98">
        <f t="shared" ref="P16:P23" si="1">L16*O16</f>
        <v>653.57888560383742</v>
      </c>
      <c r="Q16" s="101"/>
      <c r="R16" s="98"/>
      <c r="S16" s="101"/>
      <c r="T16" s="98">
        <f>(E16*G16)/12</f>
        <v>24.969724999999997</v>
      </c>
      <c r="U16" s="98">
        <f>(($G16*E16)/12)</f>
        <v>24.969724999999997</v>
      </c>
      <c r="V16" s="98">
        <f>(($G16*E16)/12)</f>
        <v>24.969724999999997</v>
      </c>
      <c r="W16" s="98">
        <v>24.97</v>
      </c>
      <c r="X16" s="98">
        <v>24.97</v>
      </c>
      <c r="Y16" s="98">
        <v>24.97</v>
      </c>
      <c r="Z16" s="98">
        <v>24.97</v>
      </c>
      <c r="AA16" s="98">
        <v>24.97</v>
      </c>
      <c r="AB16" s="98">
        <v>24.97</v>
      </c>
      <c r="AC16" s="98">
        <v>24.97</v>
      </c>
      <c r="AD16" s="98">
        <v>24.97</v>
      </c>
      <c r="AE16" s="98">
        <v>24.97</v>
      </c>
      <c r="AF16" s="98">
        <f>SUM(T16:AE16)</f>
        <v>299.63917500000002</v>
      </c>
      <c r="AG16" s="116">
        <f>L16-AF16</f>
        <v>324.69385</v>
      </c>
      <c r="AH16" s="170">
        <f>SUM(AG16/(J16-12))</f>
        <v>24.97645</v>
      </c>
    </row>
    <row r="17" spans="1:198" s="22" customFormat="1" x14ac:dyDescent="0.2">
      <c r="A17" s="29" t="s">
        <v>212</v>
      </c>
      <c r="B17" s="13" t="s">
        <v>213</v>
      </c>
      <c r="C17" s="87" t="s">
        <v>575</v>
      </c>
      <c r="D17" s="101">
        <v>3</v>
      </c>
      <c r="E17" s="48">
        <v>0.33329999999999999</v>
      </c>
      <c r="F17" s="29">
        <v>41275</v>
      </c>
      <c r="G17" s="209">
        <v>1890</v>
      </c>
      <c r="H17" s="190">
        <v>11</v>
      </c>
      <c r="I17" s="101">
        <v>36</v>
      </c>
      <c r="J17" s="101">
        <f t="shared" ref="J17:J23" si="2">I17-H17</f>
        <v>25</v>
      </c>
      <c r="K17" s="152">
        <f t="shared" ref="K17:K23" si="3">((G17*E17)/12)*H17</f>
        <v>577.44225000000006</v>
      </c>
      <c r="L17" s="99">
        <f t="shared" si="0"/>
        <v>1312.5577499999999</v>
      </c>
      <c r="M17" s="100">
        <v>112.72199999999999</v>
      </c>
      <c r="N17" s="100">
        <v>107.678</v>
      </c>
      <c r="O17" s="100">
        <f t="shared" ref="O17:O23" si="4">M17/N17</f>
        <v>1.0468433663329557</v>
      </c>
      <c r="P17" s="98">
        <f t="shared" si="1"/>
        <v>1374.04237351641</v>
      </c>
      <c r="Q17" s="101"/>
      <c r="R17" s="98"/>
      <c r="S17" s="101"/>
      <c r="T17" s="98">
        <f>(E17*G17)/12</f>
        <v>52.494750000000003</v>
      </c>
      <c r="U17" s="98">
        <f>(($G17*E17)/12)</f>
        <v>52.494750000000003</v>
      </c>
      <c r="V17" s="98">
        <f>(($G17*E17)/12)</f>
        <v>52.494750000000003</v>
      </c>
      <c r="W17" s="98">
        <v>52.49</v>
      </c>
      <c r="X17" s="98">
        <v>52.49</v>
      </c>
      <c r="Y17" s="98">
        <v>52.49</v>
      </c>
      <c r="Z17" s="98">
        <v>52.49</v>
      </c>
      <c r="AA17" s="98">
        <v>52.49</v>
      </c>
      <c r="AB17" s="98">
        <v>52.49</v>
      </c>
      <c r="AC17" s="98">
        <v>52.49</v>
      </c>
      <c r="AD17" s="98">
        <v>52.49</v>
      </c>
      <c r="AE17" s="98">
        <v>52.49</v>
      </c>
      <c r="AF17" s="98">
        <f>SUM(T17:AE17)</f>
        <v>629.89425000000006</v>
      </c>
      <c r="AG17" s="116">
        <f>L17-AF17</f>
        <v>682.66349999999989</v>
      </c>
      <c r="AH17" s="170">
        <f>SUM(AG17/(J17-12))</f>
        <v>52.512576923076914</v>
      </c>
    </row>
    <row r="18" spans="1:198" s="22" customFormat="1" x14ac:dyDescent="0.2">
      <c r="A18" s="29" t="s">
        <v>212</v>
      </c>
      <c r="B18" s="13" t="s">
        <v>214</v>
      </c>
      <c r="C18" s="87" t="s">
        <v>575</v>
      </c>
      <c r="D18" s="101">
        <v>3</v>
      </c>
      <c r="E18" s="48">
        <v>0.33329999999999999</v>
      </c>
      <c r="F18" s="29">
        <v>41275</v>
      </c>
      <c r="G18" s="209">
        <v>98</v>
      </c>
      <c r="H18" s="190">
        <v>11</v>
      </c>
      <c r="I18" s="101">
        <v>36</v>
      </c>
      <c r="J18" s="101">
        <f t="shared" si="2"/>
        <v>25</v>
      </c>
      <c r="K18" s="152">
        <f t="shared" si="3"/>
        <v>29.941449999999996</v>
      </c>
      <c r="L18" s="99">
        <f t="shared" si="0"/>
        <v>68.058549999999997</v>
      </c>
      <c r="M18" s="100">
        <v>112.72199999999999</v>
      </c>
      <c r="N18" s="100">
        <v>107.678</v>
      </c>
      <c r="O18" s="100">
        <f t="shared" si="4"/>
        <v>1.0468433663329557</v>
      </c>
      <c r="P18" s="98">
        <f t="shared" si="1"/>
        <v>71.246641589739781</v>
      </c>
      <c r="Q18" s="101"/>
      <c r="R18" s="98"/>
      <c r="S18" s="101"/>
      <c r="T18" s="98">
        <f>(E18*G18)/12</f>
        <v>2.7219499999999996</v>
      </c>
      <c r="U18" s="98">
        <f>(($G18*E18)/12)</f>
        <v>2.7219499999999996</v>
      </c>
      <c r="V18" s="98">
        <f>(($G18*E18)/12)</f>
        <v>2.7219499999999996</v>
      </c>
      <c r="W18" s="98">
        <v>2.72</v>
      </c>
      <c r="X18" s="98">
        <v>2.72</v>
      </c>
      <c r="Y18" s="98">
        <v>2.72</v>
      </c>
      <c r="Z18" s="98">
        <v>2.72</v>
      </c>
      <c r="AA18" s="98">
        <v>2.72</v>
      </c>
      <c r="AB18" s="98">
        <v>2.72</v>
      </c>
      <c r="AC18" s="98">
        <v>2.72</v>
      </c>
      <c r="AD18" s="98">
        <v>2.72</v>
      </c>
      <c r="AE18" s="98">
        <v>2.72</v>
      </c>
      <c r="AF18" s="98">
        <f>SUM(T18:AE18)</f>
        <v>32.645849999999996</v>
      </c>
      <c r="AG18" s="116">
        <f>L18-AF18</f>
        <v>35.412700000000001</v>
      </c>
      <c r="AH18" s="170">
        <f>SUM(AG18/(J18-24))</f>
        <v>35.412700000000001</v>
      </c>
    </row>
    <row r="19" spans="1:198" x14ac:dyDescent="0.2">
      <c r="A19" s="92" t="s">
        <v>212</v>
      </c>
      <c r="B19" s="93" t="s">
        <v>215</v>
      </c>
      <c r="C19" s="87" t="s">
        <v>575</v>
      </c>
      <c r="D19" s="105">
        <v>3</v>
      </c>
      <c r="E19" s="167">
        <v>0.33329999999999999</v>
      </c>
      <c r="F19" s="92">
        <v>39814</v>
      </c>
      <c r="G19" s="218">
        <v>4199</v>
      </c>
      <c r="H19" s="217">
        <v>59</v>
      </c>
      <c r="I19" s="155">
        <v>36</v>
      </c>
      <c r="J19" s="105">
        <f t="shared" si="2"/>
        <v>-23</v>
      </c>
      <c r="K19" s="151">
        <f t="shared" si="3"/>
        <v>6881.0062749999997</v>
      </c>
      <c r="L19" s="103">
        <f t="shared" si="0"/>
        <v>-2682.0062749999997</v>
      </c>
      <c r="M19" s="102">
        <v>112.72199999999999</v>
      </c>
      <c r="N19" s="219">
        <v>134.071</v>
      </c>
      <c r="O19" s="102">
        <f t="shared" si="4"/>
        <v>0.84076347606865021</v>
      </c>
      <c r="P19" s="104">
        <f t="shared" si="1"/>
        <v>-2254.9329186069322</v>
      </c>
      <c r="Q19" s="105">
        <v>36</v>
      </c>
      <c r="R19" s="104">
        <f>G19/Q19*S19</f>
        <v>2799.333333333333</v>
      </c>
      <c r="S19" s="105">
        <v>24</v>
      </c>
      <c r="T19" s="104">
        <f>R19/S19</f>
        <v>116.63888888888887</v>
      </c>
      <c r="U19" s="104">
        <v>116.64</v>
      </c>
      <c r="V19" s="104">
        <v>116.64</v>
      </c>
      <c r="W19" s="104">
        <v>116.64</v>
      </c>
      <c r="X19" s="104">
        <v>116.64</v>
      </c>
      <c r="Y19" s="104">
        <v>116.64</v>
      </c>
      <c r="Z19" s="104">
        <v>116.64</v>
      </c>
      <c r="AA19" s="104">
        <v>116.64</v>
      </c>
      <c r="AB19" s="104">
        <v>116.64</v>
      </c>
      <c r="AC19" s="104">
        <v>116.64</v>
      </c>
      <c r="AD19" s="104">
        <v>116.64</v>
      </c>
      <c r="AE19" s="104">
        <v>116.64</v>
      </c>
      <c r="AF19" s="104">
        <f>SUM(T19:AE19)</f>
        <v>1399.6788888888891</v>
      </c>
      <c r="AG19" s="115">
        <f>R19-AF19</f>
        <v>1399.6544444444439</v>
      </c>
      <c r="AH19" s="168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</row>
    <row r="20" spans="1:198" s="22" customFormat="1" x14ac:dyDescent="0.2">
      <c r="A20" s="92" t="s">
        <v>212</v>
      </c>
      <c r="B20" s="93" t="s">
        <v>216</v>
      </c>
      <c r="C20" s="87" t="s">
        <v>575</v>
      </c>
      <c r="D20" s="105">
        <v>3</v>
      </c>
      <c r="E20" s="167">
        <v>0.33329999999999999</v>
      </c>
      <c r="F20" s="92">
        <v>40544</v>
      </c>
      <c r="G20" s="218">
        <v>295</v>
      </c>
      <c r="H20" s="217">
        <v>35</v>
      </c>
      <c r="I20" s="105">
        <v>36</v>
      </c>
      <c r="J20" s="105">
        <f t="shared" si="2"/>
        <v>1</v>
      </c>
      <c r="K20" s="151">
        <f t="shared" si="3"/>
        <v>286.77687499999996</v>
      </c>
      <c r="L20" s="103">
        <f t="shared" si="0"/>
        <v>8.2231250000000387</v>
      </c>
      <c r="M20" s="102">
        <v>112.72199999999999</v>
      </c>
      <c r="N20" s="124">
        <v>100.22799999999999</v>
      </c>
      <c r="O20" s="102">
        <f t="shared" si="4"/>
        <v>1.1246557848106318</v>
      </c>
      <c r="P20" s="104">
        <f t="shared" si="1"/>
        <v>9.2481851004709696</v>
      </c>
      <c r="Q20" s="105">
        <v>36</v>
      </c>
      <c r="R20" s="104">
        <f>G20/Q20*S20</f>
        <v>188.47222222222223</v>
      </c>
      <c r="S20" s="105">
        <v>23</v>
      </c>
      <c r="T20" s="104">
        <f>R20/S20</f>
        <v>8.1944444444444446</v>
      </c>
      <c r="U20" s="104">
        <v>8.19</v>
      </c>
      <c r="V20" s="104">
        <v>8.19</v>
      </c>
      <c r="W20" s="104">
        <v>8.19</v>
      </c>
      <c r="X20" s="104">
        <v>8.19</v>
      </c>
      <c r="Y20" s="104">
        <v>8.19</v>
      </c>
      <c r="Z20" s="104">
        <v>8.19</v>
      </c>
      <c r="AA20" s="104">
        <v>8.19</v>
      </c>
      <c r="AB20" s="104">
        <v>8.19</v>
      </c>
      <c r="AC20" s="104">
        <v>8.19</v>
      </c>
      <c r="AD20" s="104">
        <v>8.19</v>
      </c>
      <c r="AE20" s="104">
        <v>8.19</v>
      </c>
      <c r="AF20" s="104">
        <f>SUM(U20:AE20)</f>
        <v>90.089999999999989</v>
      </c>
      <c r="AG20" s="115">
        <f>R20-AF20</f>
        <v>98.382222222222239</v>
      </c>
      <c r="AH20" s="168"/>
    </row>
    <row r="21" spans="1:198" s="22" customFormat="1" x14ac:dyDescent="0.2">
      <c r="A21" s="92" t="s">
        <v>212</v>
      </c>
      <c r="B21" s="93" t="s">
        <v>217</v>
      </c>
      <c r="C21" s="87" t="s">
        <v>575</v>
      </c>
      <c r="D21" s="105">
        <v>3</v>
      </c>
      <c r="E21" s="167">
        <v>0.33329999999999999</v>
      </c>
      <c r="F21" s="92">
        <v>40544</v>
      </c>
      <c r="G21" s="218">
        <v>499</v>
      </c>
      <c r="H21" s="217">
        <v>35</v>
      </c>
      <c r="I21" s="105">
        <v>36</v>
      </c>
      <c r="J21" s="105">
        <f t="shared" si="2"/>
        <v>1</v>
      </c>
      <c r="K21" s="151">
        <f t="shared" si="3"/>
        <v>485.09037499999999</v>
      </c>
      <c r="L21" s="103">
        <f t="shared" si="0"/>
        <v>13.909625000000005</v>
      </c>
      <c r="M21" s="102">
        <v>112.72199999999999</v>
      </c>
      <c r="N21" s="124">
        <v>100.22799999999999</v>
      </c>
      <c r="O21" s="102">
        <f t="shared" si="4"/>
        <v>1.1246557848106318</v>
      </c>
      <c r="P21" s="104">
        <f t="shared" si="1"/>
        <v>15.64354022079659</v>
      </c>
      <c r="Q21" s="105">
        <v>36</v>
      </c>
      <c r="R21" s="104">
        <f>G21/Q21*S21</f>
        <v>318.80555555555554</v>
      </c>
      <c r="S21" s="105">
        <v>23</v>
      </c>
      <c r="T21" s="104">
        <f>R21/S21</f>
        <v>13.861111111111111</v>
      </c>
      <c r="U21" s="104">
        <v>13.86</v>
      </c>
      <c r="V21" s="104">
        <v>13.86</v>
      </c>
      <c r="W21" s="104">
        <v>13.86</v>
      </c>
      <c r="X21" s="104">
        <v>13.86</v>
      </c>
      <c r="Y21" s="104">
        <v>13.86</v>
      </c>
      <c r="Z21" s="104">
        <v>13.86</v>
      </c>
      <c r="AA21" s="104">
        <v>13.86</v>
      </c>
      <c r="AB21" s="104">
        <v>13.86</v>
      </c>
      <c r="AC21" s="104">
        <v>13.86</v>
      </c>
      <c r="AD21" s="104">
        <v>13.86</v>
      </c>
      <c r="AE21" s="104">
        <v>13.86</v>
      </c>
      <c r="AF21" s="104">
        <f>SUM(U21:AE21)</f>
        <v>152.45999999999998</v>
      </c>
      <c r="AG21" s="115">
        <f>R21-AF21</f>
        <v>166.34555555555556</v>
      </c>
      <c r="AH21" s="168">
        <f>SUM(AG21/(J21-11))</f>
        <v>-16.634555555555558</v>
      </c>
    </row>
    <row r="22" spans="1:198" s="22" customFormat="1" x14ac:dyDescent="0.2">
      <c r="A22" s="29" t="s">
        <v>212</v>
      </c>
      <c r="B22" s="13" t="s">
        <v>218</v>
      </c>
      <c r="C22" s="87" t="s">
        <v>575</v>
      </c>
      <c r="D22" s="101">
        <v>3</v>
      </c>
      <c r="E22" s="48">
        <v>0.33329999999999999</v>
      </c>
      <c r="F22" s="29">
        <v>41275</v>
      </c>
      <c r="G22" s="209">
        <v>5699</v>
      </c>
      <c r="H22" s="190">
        <v>11</v>
      </c>
      <c r="I22" s="101">
        <v>36</v>
      </c>
      <c r="J22" s="101">
        <f t="shared" si="2"/>
        <v>25</v>
      </c>
      <c r="K22" s="152">
        <f t="shared" si="3"/>
        <v>1741.1869750000001</v>
      </c>
      <c r="L22" s="99">
        <f t="shared" si="0"/>
        <v>3957.8130249999999</v>
      </c>
      <c r="M22" s="100">
        <v>112.72199999999999</v>
      </c>
      <c r="N22" s="100">
        <v>107.678</v>
      </c>
      <c r="O22" s="100">
        <f t="shared" si="4"/>
        <v>1.0468433663329557</v>
      </c>
      <c r="P22" s="98">
        <f t="shared" si="1"/>
        <v>4143.2103104074185</v>
      </c>
      <c r="Q22" s="101"/>
      <c r="R22" s="98"/>
      <c r="S22" s="101"/>
      <c r="T22" s="98">
        <f>(E22*G22)/12</f>
        <v>158.289725</v>
      </c>
      <c r="U22" s="98">
        <f>(($G22*E22)/12)</f>
        <v>158.289725</v>
      </c>
      <c r="V22" s="98">
        <f>(($G22*E22)/12)</f>
        <v>158.289725</v>
      </c>
      <c r="W22" s="98">
        <v>158.29</v>
      </c>
      <c r="X22" s="98">
        <v>158.29</v>
      </c>
      <c r="Y22" s="98">
        <v>158.29</v>
      </c>
      <c r="Z22" s="98">
        <v>158.29</v>
      </c>
      <c r="AA22" s="98">
        <v>158.29</v>
      </c>
      <c r="AB22" s="98">
        <v>158.29</v>
      </c>
      <c r="AC22" s="98">
        <v>158.29</v>
      </c>
      <c r="AD22" s="98">
        <v>158.29</v>
      </c>
      <c r="AE22" s="98">
        <v>158.29</v>
      </c>
      <c r="AF22" s="98">
        <f>SUM(T22:AE22)</f>
        <v>1899.4791749999997</v>
      </c>
      <c r="AG22" s="116">
        <f>L22-AF22</f>
        <v>2058.33385</v>
      </c>
      <c r="AH22" s="168">
        <f>SUM(AG22/(J22-11))</f>
        <v>147.02384642857143</v>
      </c>
    </row>
    <row r="23" spans="1:198" x14ac:dyDescent="0.2">
      <c r="A23" s="29" t="s">
        <v>212</v>
      </c>
      <c r="B23" s="13" t="s">
        <v>219</v>
      </c>
      <c r="C23" s="87" t="s">
        <v>575</v>
      </c>
      <c r="D23" s="101">
        <v>3</v>
      </c>
      <c r="E23" s="48">
        <v>0.33329999999999999</v>
      </c>
      <c r="F23" s="29">
        <v>41275</v>
      </c>
      <c r="G23" s="209">
        <v>179</v>
      </c>
      <c r="H23" s="190">
        <v>11</v>
      </c>
      <c r="I23" s="12">
        <v>36</v>
      </c>
      <c r="J23" s="101">
        <f t="shared" si="2"/>
        <v>25</v>
      </c>
      <c r="K23" s="152">
        <f t="shared" si="3"/>
        <v>54.688974999999999</v>
      </c>
      <c r="L23" s="99">
        <f t="shared" si="0"/>
        <v>124.311025</v>
      </c>
      <c r="M23" s="100">
        <v>112.72199999999999</v>
      </c>
      <c r="N23" s="100">
        <v>107.678</v>
      </c>
      <c r="O23" s="100">
        <f t="shared" si="4"/>
        <v>1.0468433663329557</v>
      </c>
      <c r="P23" s="98">
        <f t="shared" si="1"/>
        <v>130.13417188330021</v>
      </c>
      <c r="Q23" s="12"/>
      <c r="R23" s="160"/>
      <c r="S23" s="160"/>
      <c r="T23" s="98">
        <f>(E23*G23)/12</f>
        <v>4.9717250000000002</v>
      </c>
      <c r="U23" s="98">
        <f>(($G23*E23)/12)</f>
        <v>4.9717250000000002</v>
      </c>
      <c r="V23" s="98">
        <f>(($G23*E23)/12)</f>
        <v>4.9717250000000002</v>
      </c>
      <c r="W23" s="98">
        <v>4.97</v>
      </c>
      <c r="X23" s="98">
        <v>4.97</v>
      </c>
      <c r="Y23" s="98">
        <v>4.97</v>
      </c>
      <c r="Z23" s="98">
        <v>4.97</v>
      </c>
      <c r="AA23" s="98">
        <v>4.97</v>
      </c>
      <c r="AB23" s="98">
        <v>4.97</v>
      </c>
      <c r="AC23" s="98">
        <v>4.97</v>
      </c>
      <c r="AD23" s="98">
        <v>4.97</v>
      </c>
      <c r="AE23" s="98">
        <v>4.97</v>
      </c>
      <c r="AF23" s="98">
        <f>SUM(T23:AE23)</f>
        <v>59.645174999999995</v>
      </c>
      <c r="AG23" s="116">
        <f>L23-AF23</f>
        <v>64.665850000000006</v>
      </c>
      <c r="AH23" s="168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</row>
    <row r="24" spans="1:198" s="22" customFormat="1" x14ac:dyDescent="0.2">
      <c r="A24" s="41" t="s">
        <v>364</v>
      </c>
      <c r="B24" s="41"/>
      <c r="C24" s="87"/>
      <c r="D24" s="101"/>
      <c r="E24" s="42"/>
      <c r="F24" s="30"/>
      <c r="G24" s="210"/>
      <c r="H24" s="189"/>
      <c r="I24" s="101"/>
      <c r="J24" s="101"/>
      <c r="K24" s="152"/>
      <c r="L24" s="99"/>
      <c r="M24" s="100"/>
      <c r="N24" s="125"/>
      <c r="O24" s="100"/>
      <c r="P24" s="98"/>
      <c r="Q24" s="101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8"/>
    </row>
    <row r="25" spans="1:198" s="22" customFormat="1" x14ac:dyDescent="0.2">
      <c r="A25" s="172" t="s">
        <v>365</v>
      </c>
      <c r="B25" s="47"/>
      <c r="C25" s="87"/>
      <c r="D25" s="101"/>
      <c r="E25" s="42"/>
      <c r="F25" s="29"/>
      <c r="G25" s="211"/>
      <c r="H25" s="190"/>
      <c r="I25" s="101"/>
      <c r="J25" s="101"/>
      <c r="K25" s="152"/>
      <c r="L25" s="99"/>
      <c r="M25" s="100"/>
      <c r="N25" s="100"/>
      <c r="O25" s="100"/>
      <c r="P25" s="98"/>
      <c r="Q25" s="101"/>
      <c r="R25" s="98"/>
      <c r="S25" s="101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116"/>
      <c r="AH25" s="168"/>
    </row>
    <row r="26" spans="1:198" x14ac:dyDescent="0.2">
      <c r="A26" s="29" t="s">
        <v>367</v>
      </c>
      <c r="B26" s="13" t="s">
        <v>249</v>
      </c>
      <c r="C26" s="87" t="s">
        <v>575</v>
      </c>
      <c r="D26" s="101">
        <v>3</v>
      </c>
      <c r="E26" s="48">
        <v>0.33329999999999999</v>
      </c>
      <c r="F26" s="29">
        <v>40909</v>
      </c>
      <c r="G26" s="211">
        <v>900</v>
      </c>
      <c r="H26" s="190">
        <v>23</v>
      </c>
      <c r="I26" s="12">
        <v>36</v>
      </c>
      <c r="J26" s="101">
        <f>I26-H26</f>
        <v>13</v>
      </c>
      <c r="K26" s="152">
        <f>((G26*E26)/12)*H26</f>
        <v>574.9425</v>
      </c>
      <c r="L26" s="99">
        <f>G26-K26</f>
        <v>325.0575</v>
      </c>
      <c r="M26" s="100">
        <v>112.72199999999999</v>
      </c>
      <c r="N26" s="127">
        <v>104.28400000000001</v>
      </c>
      <c r="O26" s="100">
        <f>M26/N26</f>
        <v>1.0809136588546659</v>
      </c>
      <c r="P26" s="98">
        <f>L26*O26</f>
        <v>351.35909166315059</v>
      </c>
      <c r="Q26" s="101"/>
      <c r="R26" s="98"/>
      <c r="S26" s="101"/>
      <c r="T26" s="98">
        <f>(E26*G26)/12</f>
        <v>24.997499999999999</v>
      </c>
      <c r="U26" s="98">
        <f>(($G26*E26)/12)</f>
        <v>24.997499999999999</v>
      </c>
      <c r="V26" s="98">
        <f>(($G26*E26)/12)</f>
        <v>24.997499999999999</v>
      </c>
      <c r="W26" s="98">
        <v>25</v>
      </c>
      <c r="X26" s="98">
        <v>25</v>
      </c>
      <c r="Y26" s="98">
        <v>25</v>
      </c>
      <c r="Z26" s="98">
        <v>25</v>
      </c>
      <c r="AA26" s="98">
        <v>25</v>
      </c>
      <c r="AB26" s="98">
        <v>25</v>
      </c>
      <c r="AC26" s="98">
        <v>25</v>
      </c>
      <c r="AD26" s="98">
        <v>25</v>
      </c>
      <c r="AE26" s="98">
        <v>25</v>
      </c>
      <c r="AF26" s="98">
        <f>SUM(T26:AE26)</f>
        <v>299.99250000000001</v>
      </c>
      <c r="AG26" s="116">
        <f>L26-AF26</f>
        <v>25.064999999999998</v>
      </c>
      <c r="AH26" s="168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</row>
    <row r="27" spans="1:198" s="22" customFormat="1" x14ac:dyDescent="0.2">
      <c r="A27" s="92" t="s">
        <v>367</v>
      </c>
      <c r="B27" s="93" t="s">
        <v>250</v>
      </c>
      <c r="C27" s="87" t="s">
        <v>575</v>
      </c>
      <c r="D27" s="105">
        <v>3</v>
      </c>
      <c r="E27" s="167">
        <v>0.33329999999999999</v>
      </c>
      <c r="F27" s="92">
        <v>40544</v>
      </c>
      <c r="G27" s="216">
        <v>799</v>
      </c>
      <c r="H27" s="217">
        <v>35</v>
      </c>
      <c r="I27" s="155">
        <v>36</v>
      </c>
      <c r="J27" s="105">
        <f>I27-H27</f>
        <v>1</v>
      </c>
      <c r="K27" s="151">
        <f>((G27*E27)/12)*H27</f>
        <v>776.72787499999993</v>
      </c>
      <c r="L27" s="103">
        <f>G27-K27</f>
        <v>22.272125000000074</v>
      </c>
      <c r="M27" s="102">
        <v>112.72199999999999</v>
      </c>
      <c r="N27" s="124">
        <v>100.22799999999999</v>
      </c>
      <c r="O27" s="102">
        <f>M27/N27</f>
        <v>1.1246557848106318</v>
      </c>
      <c r="P27" s="104">
        <f>L27*O27</f>
        <v>25.048474221275576</v>
      </c>
      <c r="Q27" s="105">
        <v>36</v>
      </c>
      <c r="R27" s="104">
        <f>G27/Q27*S27</f>
        <v>510.47222222222217</v>
      </c>
      <c r="S27" s="105">
        <v>23</v>
      </c>
      <c r="T27" s="104">
        <f>R27/S27</f>
        <v>22.194444444444443</v>
      </c>
      <c r="U27" s="104">
        <v>22.19</v>
      </c>
      <c r="V27" s="104">
        <v>22.19</v>
      </c>
      <c r="W27" s="104">
        <v>22.19</v>
      </c>
      <c r="X27" s="104">
        <v>22.19</v>
      </c>
      <c r="Y27" s="104">
        <v>22.19</v>
      </c>
      <c r="Z27" s="104">
        <v>22.19</v>
      </c>
      <c r="AA27" s="104">
        <v>22.19</v>
      </c>
      <c r="AB27" s="104">
        <v>22.19</v>
      </c>
      <c r="AC27" s="104">
        <v>22.19</v>
      </c>
      <c r="AD27" s="104">
        <v>22.19</v>
      </c>
      <c r="AE27" s="104">
        <v>22.19</v>
      </c>
      <c r="AF27" s="104">
        <f>SUM(U27:AE27)</f>
        <v>244.09</v>
      </c>
      <c r="AG27" s="115">
        <f>R27-AF27</f>
        <v>266.38222222222214</v>
      </c>
      <c r="AH27" s="168"/>
    </row>
    <row r="28" spans="1:198" x14ac:dyDescent="0.2">
      <c r="A28" s="41" t="s">
        <v>68</v>
      </c>
      <c r="B28" s="41"/>
      <c r="C28" s="87"/>
      <c r="D28" s="101"/>
      <c r="E28" s="48"/>
      <c r="F28" s="29"/>
      <c r="G28" s="209"/>
      <c r="H28" s="190"/>
      <c r="I28" s="101"/>
      <c r="J28" s="101"/>
      <c r="K28" s="152"/>
      <c r="L28" s="99"/>
      <c r="M28" s="100"/>
      <c r="N28" s="125"/>
      <c r="O28" s="100"/>
      <c r="P28" s="98"/>
      <c r="Q28" s="101"/>
      <c r="R28" s="98"/>
      <c r="S28" s="101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116"/>
      <c r="AH28" s="168"/>
    </row>
    <row r="29" spans="1:198" x14ac:dyDescent="0.2">
      <c r="A29" s="41" t="s">
        <v>86</v>
      </c>
      <c r="B29" s="13"/>
      <c r="C29" s="178"/>
      <c r="D29" s="157"/>
      <c r="E29" s="48"/>
      <c r="F29" s="29"/>
      <c r="G29" s="209"/>
      <c r="H29" s="190"/>
      <c r="I29" s="12"/>
      <c r="J29" s="12"/>
      <c r="K29" s="11"/>
      <c r="L29" s="107"/>
      <c r="M29" s="108"/>
      <c r="N29" s="127"/>
      <c r="O29" s="108"/>
      <c r="P29" s="106"/>
      <c r="Q29" s="12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8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</row>
    <row r="30" spans="1:198" s="22" customFormat="1" x14ac:dyDescent="0.2">
      <c r="A30" s="92" t="s">
        <v>220</v>
      </c>
      <c r="B30" s="93" t="s">
        <v>221</v>
      </c>
      <c r="C30" s="87" t="s">
        <v>575</v>
      </c>
      <c r="D30" s="105">
        <v>10</v>
      </c>
      <c r="E30" s="167">
        <v>0.1</v>
      </c>
      <c r="F30" s="92">
        <v>41770</v>
      </c>
      <c r="G30" s="218">
        <v>1223.48</v>
      </c>
      <c r="H30" s="217">
        <v>115</v>
      </c>
      <c r="I30" s="105">
        <v>120</v>
      </c>
      <c r="J30" s="105">
        <f>I30-H30</f>
        <v>5</v>
      </c>
      <c r="K30" s="151">
        <f>((G30*E30)/12)*H30</f>
        <v>1172.5016666666668</v>
      </c>
      <c r="L30" s="103">
        <f>G30-K30</f>
        <v>50.978333333333239</v>
      </c>
      <c r="M30" s="102">
        <v>112.72199999999999</v>
      </c>
      <c r="N30" s="124">
        <v>112.527</v>
      </c>
      <c r="O30" s="102">
        <f>M30/N30</f>
        <v>1.0017329174331493</v>
      </c>
      <c r="P30" s="104">
        <f>L30*O30</f>
        <v>51.066674575879468</v>
      </c>
      <c r="Q30" s="105">
        <v>36</v>
      </c>
      <c r="R30" s="104">
        <f>G30/Q30*S30</f>
        <v>645.72555555555562</v>
      </c>
      <c r="S30" s="105">
        <v>19</v>
      </c>
      <c r="T30" s="104">
        <f>R30/S30</f>
        <v>33.985555555555557</v>
      </c>
      <c r="U30" s="104">
        <v>33.99</v>
      </c>
      <c r="V30" s="104">
        <v>33.99</v>
      </c>
      <c r="W30" s="104">
        <v>33.99</v>
      </c>
      <c r="X30" s="104">
        <v>33.99</v>
      </c>
      <c r="Y30" s="104">
        <v>33.99</v>
      </c>
      <c r="Z30" s="104">
        <v>33.99</v>
      </c>
      <c r="AA30" s="104">
        <v>33.99</v>
      </c>
      <c r="AB30" s="104">
        <v>33.99</v>
      </c>
      <c r="AC30" s="104">
        <v>33.99</v>
      </c>
      <c r="AD30" s="104">
        <v>33.99</v>
      </c>
      <c r="AE30" s="104">
        <v>33.99</v>
      </c>
      <c r="AF30" s="104">
        <f>SUM(Y30:AE30)</f>
        <v>237.93000000000004</v>
      </c>
      <c r="AG30" s="115">
        <f>R30-AF30</f>
        <v>407.79555555555555</v>
      </c>
      <c r="AH30" s="168"/>
    </row>
    <row r="31" spans="1:198" x14ac:dyDescent="0.2">
      <c r="A31" s="92" t="s">
        <v>220</v>
      </c>
      <c r="B31" s="93" t="s">
        <v>221</v>
      </c>
      <c r="C31" s="87" t="s">
        <v>575</v>
      </c>
      <c r="D31" s="105">
        <v>10</v>
      </c>
      <c r="E31" s="167">
        <v>0.1</v>
      </c>
      <c r="F31" s="92">
        <v>41770</v>
      </c>
      <c r="G31" s="218">
        <v>1223.48</v>
      </c>
      <c r="H31" s="217">
        <v>115</v>
      </c>
      <c r="I31" s="105">
        <v>120</v>
      </c>
      <c r="J31" s="105">
        <f>I31-H31</f>
        <v>5</v>
      </c>
      <c r="K31" s="151">
        <f>((G31*E31)/12)*H31</f>
        <v>1172.5016666666668</v>
      </c>
      <c r="L31" s="103">
        <f>G31-K31</f>
        <v>50.978333333333239</v>
      </c>
      <c r="M31" s="102">
        <v>112.72199999999999</v>
      </c>
      <c r="N31" s="124">
        <v>112.527</v>
      </c>
      <c r="O31" s="102">
        <f>M31/N31</f>
        <v>1.0017329174331493</v>
      </c>
      <c r="P31" s="104">
        <f>L31*O31</f>
        <v>51.066674575879468</v>
      </c>
      <c r="Q31" s="105">
        <v>36</v>
      </c>
      <c r="R31" s="104">
        <f>G31/Q31*S31</f>
        <v>645.72555555555562</v>
      </c>
      <c r="S31" s="105">
        <v>19</v>
      </c>
      <c r="T31" s="104">
        <f>R31/S31</f>
        <v>33.985555555555557</v>
      </c>
      <c r="U31" s="104">
        <v>33.99</v>
      </c>
      <c r="V31" s="104">
        <v>33.99</v>
      </c>
      <c r="W31" s="104">
        <v>33.99</v>
      </c>
      <c r="X31" s="104">
        <v>33.99</v>
      </c>
      <c r="Y31" s="104">
        <v>33.99</v>
      </c>
      <c r="Z31" s="104">
        <v>33.99</v>
      </c>
      <c r="AA31" s="104">
        <v>33.99</v>
      </c>
      <c r="AB31" s="104">
        <v>33.99</v>
      </c>
      <c r="AC31" s="104">
        <v>33.99</v>
      </c>
      <c r="AD31" s="104">
        <v>33.99</v>
      </c>
      <c r="AE31" s="104">
        <v>33.99</v>
      </c>
      <c r="AF31" s="104">
        <f>SUM(Y31:AE31)</f>
        <v>237.93000000000004</v>
      </c>
      <c r="AG31" s="115">
        <f>R31-AF31</f>
        <v>407.79555555555555</v>
      </c>
      <c r="AH31" s="168">
        <f>SUM(AG31/(J31-12))</f>
        <v>-58.256507936507937</v>
      </c>
    </row>
    <row r="32" spans="1:198" x14ac:dyDescent="0.2">
      <c r="A32" s="29" t="s">
        <v>220</v>
      </c>
      <c r="B32" s="13" t="s">
        <v>221</v>
      </c>
      <c r="C32" s="87" t="s">
        <v>575</v>
      </c>
      <c r="D32" s="101">
        <v>10</v>
      </c>
      <c r="E32" s="48">
        <v>0.1</v>
      </c>
      <c r="F32" s="29">
        <v>40179</v>
      </c>
      <c r="G32" s="209">
        <v>2499</v>
      </c>
      <c r="H32" s="190">
        <v>47</v>
      </c>
      <c r="I32" s="101">
        <v>120</v>
      </c>
      <c r="J32" s="101">
        <f>I32-H32</f>
        <v>73</v>
      </c>
      <c r="K32" s="152">
        <f>((G32*E32)/12)*H32</f>
        <v>978.77499999999998</v>
      </c>
      <c r="L32" s="99">
        <f>G32-K32</f>
        <v>1520.2249999999999</v>
      </c>
      <c r="M32" s="100">
        <v>112.72199999999999</v>
      </c>
      <c r="N32" s="125">
        <v>140.047</v>
      </c>
      <c r="O32" s="100">
        <f>M32/N32</f>
        <v>0.8048869308160832</v>
      </c>
      <c r="P32" s="98">
        <f>L32*O32</f>
        <v>1223.6092343998801</v>
      </c>
      <c r="Q32" s="101"/>
      <c r="R32" s="98"/>
      <c r="S32" s="101"/>
      <c r="T32" s="98">
        <f>(E32*G32)/12</f>
        <v>20.824999999999999</v>
      </c>
      <c r="U32" s="98">
        <f>(($G32*E32)/12)</f>
        <v>20.824999999999999</v>
      </c>
      <c r="V32" s="98">
        <f>(($G32*E32)/12)</f>
        <v>20.824999999999999</v>
      </c>
      <c r="W32" s="98">
        <v>20.83</v>
      </c>
      <c r="X32" s="98">
        <v>20.83</v>
      </c>
      <c r="Y32" s="98">
        <v>20.83</v>
      </c>
      <c r="Z32" s="98">
        <v>20.83</v>
      </c>
      <c r="AA32" s="98">
        <v>20.83</v>
      </c>
      <c r="AB32" s="98">
        <v>20.83</v>
      </c>
      <c r="AC32" s="98">
        <v>20.83</v>
      </c>
      <c r="AD32" s="98">
        <v>20.83</v>
      </c>
      <c r="AE32" s="98">
        <v>20.83</v>
      </c>
      <c r="AF32" s="98">
        <f>SUM(T32:AE32)</f>
        <v>249.94499999999994</v>
      </c>
      <c r="AG32" s="116">
        <f>L32-AF32</f>
        <v>1270.28</v>
      </c>
      <c r="AH32" s="168">
        <f>SUM(AG32/(J32-12))</f>
        <v>20.824262295081965</v>
      </c>
    </row>
    <row r="33" spans="1:198" x14ac:dyDescent="0.2">
      <c r="A33" s="29" t="s">
        <v>220</v>
      </c>
      <c r="B33" s="13" t="s">
        <v>222</v>
      </c>
      <c r="C33" s="87" t="s">
        <v>575</v>
      </c>
      <c r="D33" s="101">
        <v>10</v>
      </c>
      <c r="E33" s="48">
        <v>0.1</v>
      </c>
      <c r="F33" s="29">
        <v>39448</v>
      </c>
      <c r="G33" s="209">
        <v>2000</v>
      </c>
      <c r="H33" s="190">
        <v>71</v>
      </c>
      <c r="I33" s="101">
        <v>120</v>
      </c>
      <c r="J33" s="101">
        <f>I33-H33</f>
        <v>49</v>
      </c>
      <c r="K33" s="152">
        <f>((G33*E33)/12)*H33</f>
        <v>1183.3333333333335</v>
      </c>
      <c r="L33" s="99">
        <f>G33-K33</f>
        <v>816.66666666666652</v>
      </c>
      <c r="M33" s="100">
        <v>112.72199999999999</v>
      </c>
      <c r="N33" s="125">
        <v>126.146</v>
      </c>
      <c r="O33" s="100">
        <f>M33/N33</f>
        <v>0.89358362532303837</v>
      </c>
      <c r="P33" s="98">
        <f>L33*O33</f>
        <v>729.75996068048119</v>
      </c>
      <c r="Q33" s="101"/>
      <c r="R33" s="98"/>
      <c r="S33" s="101"/>
      <c r="T33" s="98">
        <f>(E33*G33)/12</f>
        <v>16.666666666666668</v>
      </c>
      <c r="U33" s="98">
        <f>(($G33*E33)/12)</f>
        <v>16.666666666666668</v>
      </c>
      <c r="V33" s="98">
        <f>(($G33*E33)/12)</f>
        <v>16.666666666666668</v>
      </c>
      <c r="W33" s="98">
        <v>16.670000000000002</v>
      </c>
      <c r="X33" s="98">
        <v>16.670000000000002</v>
      </c>
      <c r="Y33" s="98">
        <v>16.670000000000002</v>
      </c>
      <c r="Z33" s="98">
        <v>16.670000000000002</v>
      </c>
      <c r="AA33" s="98">
        <v>16.670000000000002</v>
      </c>
      <c r="AB33" s="98">
        <v>16.670000000000002</v>
      </c>
      <c r="AC33" s="98">
        <v>16.670000000000002</v>
      </c>
      <c r="AD33" s="98">
        <v>16.670000000000002</v>
      </c>
      <c r="AE33" s="98">
        <v>16.670000000000002</v>
      </c>
      <c r="AF33" s="98">
        <f>SUM(T33:AE33)</f>
        <v>200.03000000000009</v>
      </c>
      <c r="AG33" s="116">
        <f>L33-AF33</f>
        <v>616.63666666666643</v>
      </c>
      <c r="AH33" s="168">
        <f>SUM(AG33/(J33-12))</f>
        <v>16.665855855855849</v>
      </c>
    </row>
    <row r="34" spans="1:198" ht="13.5" x14ac:dyDescent="0.25">
      <c r="A34" s="41" t="s">
        <v>68</v>
      </c>
      <c r="B34" s="41"/>
      <c r="C34" s="87"/>
      <c r="D34" s="101"/>
      <c r="E34" s="46"/>
      <c r="F34" s="15"/>
      <c r="G34" s="212"/>
      <c r="H34" s="213"/>
      <c r="I34" s="101"/>
      <c r="J34" s="101"/>
      <c r="K34" s="152"/>
      <c r="L34" s="99"/>
      <c r="M34" s="100"/>
      <c r="N34" s="125"/>
      <c r="O34" s="100"/>
      <c r="P34" s="98"/>
      <c r="Q34" s="101"/>
      <c r="R34" s="98"/>
      <c r="S34" s="101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116"/>
      <c r="AH34" s="168"/>
    </row>
    <row r="35" spans="1:198" ht="13.5" x14ac:dyDescent="0.25">
      <c r="A35" s="41" t="s">
        <v>223</v>
      </c>
      <c r="B35" s="54"/>
      <c r="C35" s="87"/>
      <c r="D35" s="101"/>
      <c r="E35" s="46"/>
      <c r="F35" s="15"/>
      <c r="G35" s="212"/>
      <c r="H35" s="213"/>
      <c r="I35" s="101"/>
      <c r="J35" s="101"/>
      <c r="K35" s="152"/>
      <c r="L35" s="99"/>
      <c r="M35" s="100"/>
      <c r="N35" s="125"/>
      <c r="O35" s="100"/>
      <c r="P35" s="98"/>
      <c r="Q35" s="101"/>
      <c r="R35" s="98"/>
      <c r="S35" s="101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116"/>
      <c r="AH35" s="168"/>
    </row>
    <row r="36" spans="1:198" x14ac:dyDescent="0.2">
      <c r="A36" s="29" t="s">
        <v>225</v>
      </c>
      <c r="B36" s="145" t="s">
        <v>535</v>
      </c>
      <c r="C36" s="87" t="s">
        <v>575</v>
      </c>
      <c r="D36" s="101">
        <v>3</v>
      </c>
      <c r="E36" s="48">
        <v>0.33329999999999999</v>
      </c>
      <c r="F36" s="29">
        <v>40909</v>
      </c>
      <c r="G36" s="209">
        <v>335</v>
      </c>
      <c r="H36" s="190">
        <v>23</v>
      </c>
      <c r="I36" s="101">
        <v>120</v>
      </c>
      <c r="J36" s="101">
        <f>I36-H36</f>
        <v>97</v>
      </c>
      <c r="K36" s="152">
        <f>((G36*E36)/12)*H36</f>
        <v>214.00637499999999</v>
      </c>
      <c r="L36" s="99">
        <f>G36-K36</f>
        <v>120.99362500000001</v>
      </c>
      <c r="M36" s="100">
        <v>112.72199999999999</v>
      </c>
      <c r="N36" s="125">
        <v>100.22799999999999</v>
      </c>
      <c r="O36" s="100">
        <f>M36/N36</f>
        <v>1.1246557848106318</v>
      </c>
      <c r="P36" s="98">
        <f>L36*O36</f>
        <v>136.07618028145828</v>
      </c>
      <c r="Q36" s="101"/>
      <c r="R36" s="98"/>
      <c r="S36" s="101"/>
      <c r="T36" s="98">
        <f>(E36*G36)/12</f>
        <v>9.3046249999999997</v>
      </c>
      <c r="U36" s="98">
        <f>(($G36*E36)/12)</f>
        <v>9.3046249999999997</v>
      </c>
      <c r="V36" s="98">
        <f>(($G36*E36)/12)</f>
        <v>9.3046249999999997</v>
      </c>
      <c r="W36" s="98">
        <v>9.3000000000000007</v>
      </c>
      <c r="X36" s="98">
        <v>9.3000000000000007</v>
      </c>
      <c r="Y36" s="98">
        <v>9.3000000000000007</v>
      </c>
      <c r="Z36" s="98">
        <v>9.3000000000000007</v>
      </c>
      <c r="AA36" s="98">
        <v>9.3000000000000007</v>
      </c>
      <c r="AB36" s="98">
        <v>9.3000000000000007</v>
      </c>
      <c r="AC36" s="98">
        <v>9.3000000000000007</v>
      </c>
      <c r="AD36" s="98">
        <v>9.3000000000000007</v>
      </c>
      <c r="AE36" s="98">
        <v>9.3000000000000007</v>
      </c>
      <c r="AF36" s="98">
        <f>SUM(T36:AE36)</f>
        <v>111.61387499999998</v>
      </c>
      <c r="AG36" s="116">
        <f>L36-AF36</f>
        <v>9.3797500000000298</v>
      </c>
      <c r="AH36" s="168">
        <f>SUM(AG36/(J36-12))</f>
        <v>0.11035000000000035</v>
      </c>
    </row>
    <row r="37" spans="1:198" x14ac:dyDescent="0.2">
      <c r="A37" s="29" t="s">
        <v>225</v>
      </c>
      <c r="B37" s="13" t="s">
        <v>226</v>
      </c>
      <c r="C37" s="87" t="s">
        <v>575</v>
      </c>
      <c r="D37" s="101">
        <v>3</v>
      </c>
      <c r="E37" s="48">
        <v>0.33329999999999999</v>
      </c>
      <c r="F37" s="29">
        <v>40544</v>
      </c>
      <c r="G37" s="209">
        <v>59</v>
      </c>
      <c r="H37" s="190">
        <v>11</v>
      </c>
      <c r="I37" s="101">
        <v>120</v>
      </c>
      <c r="J37" s="101">
        <f>I37-H37</f>
        <v>109</v>
      </c>
      <c r="K37" s="152">
        <f>((G37*E37)/12)*H37</f>
        <v>18.025974999999999</v>
      </c>
      <c r="L37" s="99">
        <f>G37-K37</f>
        <v>40.974024999999997</v>
      </c>
      <c r="M37" s="100">
        <v>112.72199999999999</v>
      </c>
      <c r="N37" s="125">
        <v>100.22799999999999</v>
      </c>
      <c r="O37" s="100">
        <f>M37/N37</f>
        <v>1.1246557848106318</v>
      </c>
      <c r="P37" s="98">
        <f>L37*O37</f>
        <v>46.081674243225443</v>
      </c>
      <c r="Q37" s="101"/>
      <c r="R37" s="98"/>
      <c r="S37" s="101"/>
      <c r="T37" s="98">
        <f>(E37*G37)/12</f>
        <v>1.638725</v>
      </c>
      <c r="U37" s="98">
        <f>(($G37*E37)/12)</f>
        <v>1.638725</v>
      </c>
      <c r="V37" s="98">
        <f>(($G37*E37)/12)</f>
        <v>1.638725</v>
      </c>
      <c r="W37" s="98">
        <v>1.64</v>
      </c>
      <c r="X37" s="98">
        <v>1.64</v>
      </c>
      <c r="Y37" s="98">
        <v>1.64</v>
      </c>
      <c r="Z37" s="98">
        <v>1.64</v>
      </c>
      <c r="AA37" s="98">
        <v>1.64</v>
      </c>
      <c r="AB37" s="98">
        <v>1.64</v>
      </c>
      <c r="AC37" s="98">
        <v>1.64</v>
      </c>
      <c r="AD37" s="98">
        <v>1.64</v>
      </c>
      <c r="AE37" s="98">
        <v>1.64</v>
      </c>
      <c r="AF37" s="98">
        <f>SUM(T37:AE37)</f>
        <v>19.676175000000004</v>
      </c>
      <c r="AG37" s="116">
        <f>L37-AF37</f>
        <v>21.297849999999993</v>
      </c>
      <c r="AH37" s="168">
        <f>SUM(AG37/(J37-12))</f>
        <v>0.21956546391752571</v>
      </c>
    </row>
    <row r="38" spans="1:198" x14ac:dyDescent="0.2">
      <c r="A38" s="41" t="s">
        <v>74</v>
      </c>
      <c r="B38" s="41"/>
      <c r="C38" s="87"/>
      <c r="D38" s="101"/>
      <c r="E38" s="6"/>
      <c r="F38" s="30"/>
      <c r="G38" s="210"/>
      <c r="H38" s="189"/>
      <c r="I38" s="101"/>
      <c r="J38" s="101"/>
      <c r="K38" s="152"/>
      <c r="L38" s="99"/>
      <c r="M38" s="100"/>
      <c r="N38" s="125"/>
      <c r="O38" s="100"/>
      <c r="P38" s="98"/>
      <c r="Q38" s="101"/>
      <c r="R38" s="98"/>
      <c r="S38" s="101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116"/>
      <c r="AH38" s="168"/>
    </row>
    <row r="39" spans="1:198" x14ac:dyDescent="0.2">
      <c r="A39" s="41" t="s">
        <v>80</v>
      </c>
      <c r="B39" s="46"/>
      <c r="C39" s="178"/>
      <c r="D39" s="157"/>
      <c r="E39" s="42"/>
      <c r="F39" s="30"/>
      <c r="G39" s="210"/>
      <c r="H39" s="189"/>
      <c r="I39" s="12"/>
      <c r="J39" s="12"/>
      <c r="K39" s="11"/>
      <c r="L39" s="107"/>
      <c r="M39" s="108"/>
      <c r="N39" s="127"/>
      <c r="O39" s="108"/>
      <c r="P39" s="106"/>
      <c r="Q39" s="12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8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</row>
    <row r="40" spans="1:198" s="22" customFormat="1" x14ac:dyDescent="0.2">
      <c r="A40" s="29" t="s">
        <v>227</v>
      </c>
      <c r="B40" s="13" t="s">
        <v>228</v>
      </c>
      <c r="C40" s="87" t="s">
        <v>575</v>
      </c>
      <c r="D40" s="101">
        <v>10</v>
      </c>
      <c r="E40" s="38">
        <v>0.1</v>
      </c>
      <c r="F40" s="29">
        <v>39448</v>
      </c>
      <c r="G40" s="211">
        <v>300</v>
      </c>
      <c r="H40" s="190">
        <v>71</v>
      </c>
      <c r="I40" s="101">
        <v>120</v>
      </c>
      <c r="J40" s="101">
        <f>I40-H40</f>
        <v>49</v>
      </c>
      <c r="K40" s="152">
        <f>((G40*E40)/12)*H40</f>
        <v>177.5</v>
      </c>
      <c r="L40" s="99">
        <f>G40-K40</f>
        <v>122.5</v>
      </c>
      <c r="M40" s="100">
        <v>112.72199999999999</v>
      </c>
      <c r="N40" s="125">
        <v>100.22799999999999</v>
      </c>
      <c r="O40" s="100">
        <f>M40/N40</f>
        <v>1.1246557848106318</v>
      </c>
      <c r="P40" s="98">
        <f>L40*O40</f>
        <v>137.77033363930238</v>
      </c>
      <c r="Q40" s="101"/>
      <c r="R40" s="98"/>
      <c r="S40" s="101"/>
      <c r="T40" s="98">
        <f>(E40*G40)/12</f>
        <v>2.5</v>
      </c>
      <c r="U40" s="98">
        <f>(($G40*E40)/12)</f>
        <v>2.5</v>
      </c>
      <c r="V40" s="98">
        <f>(($G40*E40)/12)</f>
        <v>2.5</v>
      </c>
      <c r="W40" s="98">
        <v>2.5</v>
      </c>
      <c r="X40" s="98">
        <v>2.5</v>
      </c>
      <c r="Y40" s="98">
        <v>2.5</v>
      </c>
      <c r="Z40" s="98">
        <v>2.5</v>
      </c>
      <c r="AA40" s="98">
        <v>2.5</v>
      </c>
      <c r="AB40" s="98">
        <v>2.5</v>
      </c>
      <c r="AC40" s="98">
        <v>2.5</v>
      </c>
      <c r="AD40" s="98">
        <v>2.5</v>
      </c>
      <c r="AE40" s="98">
        <v>2.5</v>
      </c>
      <c r="AF40" s="98">
        <f>SUM(T40:AE40)</f>
        <v>30</v>
      </c>
      <c r="AG40" s="116">
        <f>L40-AF40</f>
        <v>92.5</v>
      </c>
      <c r="AH40" s="168">
        <f>SUM(AG40/(J40-12))</f>
        <v>2.5</v>
      </c>
      <c r="AI40"/>
    </row>
    <row r="41" spans="1:198" x14ac:dyDescent="0.2">
      <c r="A41" s="29" t="s">
        <v>227</v>
      </c>
      <c r="B41" s="13" t="s">
        <v>43</v>
      </c>
      <c r="C41" s="87" t="s">
        <v>575</v>
      </c>
      <c r="D41" s="101">
        <v>10</v>
      </c>
      <c r="E41" s="38">
        <v>0.1</v>
      </c>
      <c r="F41" s="29">
        <v>40544</v>
      </c>
      <c r="G41" s="211">
        <v>600</v>
      </c>
      <c r="H41" s="190">
        <v>35</v>
      </c>
      <c r="I41" s="101">
        <v>120</v>
      </c>
      <c r="J41" s="101">
        <f>I41-H41</f>
        <v>85</v>
      </c>
      <c r="K41" s="152">
        <f>((G41*E41)/12)*H41</f>
        <v>175</v>
      </c>
      <c r="L41" s="99">
        <f>G41-K41</f>
        <v>425</v>
      </c>
      <c r="M41" s="100">
        <v>112.72199999999999</v>
      </c>
      <c r="N41" s="125">
        <v>100.22799999999999</v>
      </c>
      <c r="O41" s="100">
        <f>M41/N41</f>
        <v>1.1246557848106318</v>
      </c>
      <c r="P41" s="98">
        <f>L41*O41</f>
        <v>477.9787085445185</v>
      </c>
      <c r="Q41" s="101"/>
      <c r="R41" s="98"/>
      <c r="S41" s="101"/>
      <c r="T41" s="98">
        <f>(E41*G41)/12</f>
        <v>5</v>
      </c>
      <c r="U41" s="98">
        <f>(($G41*E41)/12)</f>
        <v>5</v>
      </c>
      <c r="V41" s="98">
        <f>(($G41*E41)/12)</f>
        <v>5</v>
      </c>
      <c r="W41" s="98">
        <v>5</v>
      </c>
      <c r="X41" s="98">
        <v>5</v>
      </c>
      <c r="Y41" s="98">
        <v>5</v>
      </c>
      <c r="Z41" s="98">
        <v>5</v>
      </c>
      <c r="AA41" s="98">
        <v>5</v>
      </c>
      <c r="AB41" s="98">
        <v>5</v>
      </c>
      <c r="AC41" s="98">
        <v>5</v>
      </c>
      <c r="AD41" s="98">
        <v>5</v>
      </c>
      <c r="AE41" s="98">
        <v>5</v>
      </c>
      <c r="AF41" s="98">
        <f>SUM(T41:AE41)</f>
        <v>60</v>
      </c>
      <c r="AG41" s="116">
        <f>L41-AF41</f>
        <v>365</v>
      </c>
      <c r="AH41" s="168">
        <f>SUM(AG41/(J41-12))</f>
        <v>5</v>
      </c>
    </row>
    <row r="42" spans="1:198" x14ac:dyDescent="0.2">
      <c r="A42" s="41" t="s">
        <v>68</v>
      </c>
      <c r="B42" s="41"/>
      <c r="C42" s="87"/>
      <c r="D42" s="101"/>
      <c r="E42" s="48"/>
      <c r="F42" s="29"/>
      <c r="G42" s="209"/>
      <c r="H42" s="190"/>
      <c r="I42" s="101"/>
      <c r="J42" s="101"/>
      <c r="K42" s="152"/>
      <c r="L42" s="99"/>
      <c r="M42" s="100"/>
      <c r="N42" s="125"/>
      <c r="O42" s="100"/>
      <c r="P42" s="98"/>
      <c r="Q42" s="101"/>
      <c r="R42" s="101"/>
      <c r="S42" s="101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116"/>
      <c r="AH42" s="168"/>
      <c r="AI42" s="22"/>
      <c r="AJ42" s="22"/>
      <c r="AK42" s="22"/>
      <c r="AL42" s="22"/>
      <c r="AM42" s="22"/>
      <c r="AN42" s="22"/>
    </row>
    <row r="43" spans="1:198" x14ac:dyDescent="0.2">
      <c r="A43" s="41" t="s">
        <v>87</v>
      </c>
      <c r="B43" s="13"/>
      <c r="C43" s="178"/>
      <c r="D43" s="157"/>
      <c r="E43" s="48"/>
      <c r="F43" s="29"/>
      <c r="G43" s="209"/>
      <c r="H43" s="190"/>
      <c r="I43" s="12"/>
      <c r="J43" s="12"/>
      <c r="K43" s="11"/>
      <c r="L43" s="107"/>
      <c r="M43" s="108"/>
      <c r="N43" s="127"/>
      <c r="O43" s="108"/>
      <c r="P43" s="106"/>
      <c r="Q43" s="12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8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</row>
    <row r="44" spans="1:198" s="22" customFormat="1" x14ac:dyDescent="0.2">
      <c r="A44" s="29" t="s">
        <v>229</v>
      </c>
      <c r="B44" s="13" t="s">
        <v>230</v>
      </c>
      <c r="C44" s="87" t="s">
        <v>575</v>
      </c>
      <c r="D44" s="101">
        <v>10</v>
      </c>
      <c r="E44" s="48">
        <v>0.1</v>
      </c>
      <c r="F44" s="29">
        <v>39814</v>
      </c>
      <c r="G44" s="209">
        <v>239</v>
      </c>
      <c r="H44" s="190">
        <v>59</v>
      </c>
      <c r="I44" s="101">
        <v>120</v>
      </c>
      <c r="J44" s="101">
        <f>I44-H44</f>
        <v>61</v>
      </c>
      <c r="K44" s="152">
        <f>((G44*E44)/12)*H44</f>
        <v>117.50833333333335</v>
      </c>
      <c r="L44" s="99">
        <f>G44-K44</f>
        <v>121.49166666666665</v>
      </c>
      <c r="M44" s="100">
        <v>112.72199999999999</v>
      </c>
      <c r="N44" s="125">
        <v>134.071</v>
      </c>
      <c r="O44" s="100">
        <f>M44/N44</f>
        <v>0.84076347606865021</v>
      </c>
      <c r="P44" s="98">
        <f>L44*O44</f>
        <v>102.14575598004041</v>
      </c>
      <c r="Q44" s="101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8"/>
    </row>
    <row r="45" spans="1:198" s="22" customFormat="1" x14ac:dyDescent="0.2">
      <c r="A45" s="29" t="s">
        <v>229</v>
      </c>
      <c r="B45" s="13" t="s">
        <v>231</v>
      </c>
      <c r="C45" s="87" t="s">
        <v>575</v>
      </c>
      <c r="D45" s="101">
        <v>10</v>
      </c>
      <c r="E45" s="48">
        <v>0.1</v>
      </c>
      <c r="F45" s="29">
        <v>40544</v>
      </c>
      <c r="G45" s="209">
        <v>738</v>
      </c>
      <c r="H45" s="190">
        <v>35</v>
      </c>
      <c r="I45" s="101">
        <v>120</v>
      </c>
      <c r="J45" s="101">
        <f>I45-H45</f>
        <v>85</v>
      </c>
      <c r="K45" s="152">
        <f>((G45*E45)/12)*H45</f>
        <v>215.24999999999997</v>
      </c>
      <c r="L45" s="99">
        <f>G45-K45</f>
        <v>522.75</v>
      </c>
      <c r="M45" s="100">
        <v>112.72199999999999</v>
      </c>
      <c r="N45" s="100">
        <v>100.22799999999999</v>
      </c>
      <c r="O45" s="100">
        <f>M45/N45</f>
        <v>1.1246557848106318</v>
      </c>
      <c r="P45" s="98">
        <f>L45*O45</f>
        <v>587.91381150975781</v>
      </c>
      <c r="Q45" s="101"/>
      <c r="R45" s="98"/>
      <c r="S45" s="101"/>
      <c r="T45" s="98">
        <f>(E45*G45)/12</f>
        <v>6.1499999999999995</v>
      </c>
      <c r="U45" s="98">
        <f>(($G45*E45)/12)</f>
        <v>6.1499999999999995</v>
      </c>
      <c r="V45" s="98">
        <f>(($G45*E45)/12)</f>
        <v>6.1499999999999995</v>
      </c>
      <c r="W45" s="98">
        <v>6.15</v>
      </c>
      <c r="X45" s="98">
        <v>6.15</v>
      </c>
      <c r="Y45" s="98">
        <v>6.15</v>
      </c>
      <c r="Z45" s="98">
        <v>6.15</v>
      </c>
      <c r="AA45" s="98">
        <v>6.15</v>
      </c>
      <c r="AB45" s="98">
        <v>6.15</v>
      </c>
      <c r="AC45" s="98">
        <v>6.15</v>
      </c>
      <c r="AD45" s="98">
        <v>6.15</v>
      </c>
      <c r="AE45" s="98">
        <v>6.15</v>
      </c>
      <c r="AF45" s="98">
        <f>SUM(T45:AE45)</f>
        <v>73.8</v>
      </c>
      <c r="AG45" s="116">
        <f>L45-AF45</f>
        <v>448.95</v>
      </c>
      <c r="AH45" s="168">
        <f>SUM(AG45/(J45-11))</f>
        <v>6.0668918918918919</v>
      </c>
    </row>
    <row r="46" spans="1:198" x14ac:dyDescent="0.2">
      <c r="A46" s="29" t="s">
        <v>229</v>
      </c>
      <c r="B46" s="13" t="s">
        <v>230</v>
      </c>
      <c r="C46" s="87" t="s">
        <v>575</v>
      </c>
      <c r="D46" s="101">
        <v>10</v>
      </c>
      <c r="E46" s="48">
        <v>0.1</v>
      </c>
      <c r="F46" s="29">
        <v>39814</v>
      </c>
      <c r="G46" s="209">
        <v>239</v>
      </c>
      <c r="H46" s="190">
        <v>59</v>
      </c>
      <c r="I46" s="101">
        <v>120</v>
      </c>
      <c r="J46" s="101">
        <f>I46-H46</f>
        <v>61</v>
      </c>
      <c r="K46" s="152">
        <f>((G46*E46)/12)*H46</f>
        <v>117.50833333333335</v>
      </c>
      <c r="L46" s="99">
        <f>G46-K46</f>
        <v>121.49166666666665</v>
      </c>
      <c r="M46" s="100">
        <v>112.72199999999999</v>
      </c>
      <c r="N46" s="100">
        <v>134.071</v>
      </c>
      <c r="O46" s="100">
        <f>M46/N46</f>
        <v>0.84076347606865021</v>
      </c>
      <c r="P46" s="98">
        <f>L46*O46</f>
        <v>102.14575598004041</v>
      </c>
      <c r="Q46" s="101"/>
      <c r="R46" s="51"/>
      <c r="S46" s="51"/>
      <c r="T46" s="98">
        <f>(E46*G46)/12</f>
        <v>1.9916666666666669</v>
      </c>
      <c r="U46" s="98">
        <f>(($G46*E46)/12)</f>
        <v>1.9916666666666669</v>
      </c>
      <c r="V46" s="98">
        <f>(($G46*E46)/12)</f>
        <v>1.9916666666666669</v>
      </c>
      <c r="W46" s="98">
        <v>1.99</v>
      </c>
      <c r="X46" s="98">
        <v>1.99</v>
      </c>
      <c r="Y46" s="98">
        <v>1.99</v>
      </c>
      <c r="Z46" s="98">
        <v>1.99</v>
      </c>
      <c r="AA46" s="98">
        <v>1.99</v>
      </c>
      <c r="AB46" s="98">
        <v>1.99</v>
      </c>
      <c r="AC46" s="98">
        <v>1.99</v>
      </c>
      <c r="AD46" s="98">
        <v>1.99</v>
      </c>
      <c r="AE46" s="98">
        <v>1.99</v>
      </c>
      <c r="AF46" s="98">
        <f>SUM(T46:AE46)</f>
        <v>23.884999999999994</v>
      </c>
      <c r="AG46" s="116">
        <f>L46-AF46</f>
        <v>97.606666666666655</v>
      </c>
      <c r="AH46" s="168">
        <f>SUM(AG46/(J46-12))</f>
        <v>1.991972789115646</v>
      </c>
    </row>
    <row r="47" spans="1:198" x14ac:dyDescent="0.2">
      <c r="A47" s="41" t="s">
        <v>74</v>
      </c>
      <c r="B47" s="41"/>
      <c r="C47" s="87"/>
      <c r="D47" s="101"/>
      <c r="E47" s="38"/>
      <c r="F47" s="29"/>
      <c r="G47" s="211"/>
      <c r="H47" s="190"/>
      <c r="I47" s="101"/>
      <c r="J47" s="101"/>
      <c r="K47" s="152"/>
      <c r="L47" s="99"/>
      <c r="M47" s="100"/>
      <c r="N47" s="100"/>
      <c r="O47" s="100"/>
      <c r="P47" s="98"/>
      <c r="Q47" s="101"/>
      <c r="R47" s="98"/>
      <c r="S47" s="101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116"/>
      <c r="AH47" s="168"/>
      <c r="AI47" s="22"/>
      <c r="AJ47" s="22"/>
    </row>
    <row r="48" spans="1:198" x14ac:dyDescent="0.2">
      <c r="A48" s="41" t="s">
        <v>102</v>
      </c>
      <c r="B48" s="13"/>
      <c r="C48" s="178"/>
      <c r="D48" s="157"/>
      <c r="E48" s="38"/>
      <c r="F48" s="29"/>
      <c r="G48" s="211"/>
      <c r="H48" s="190"/>
      <c r="I48" s="12"/>
      <c r="J48" s="12"/>
      <c r="K48" s="11"/>
      <c r="L48" s="107"/>
      <c r="M48" s="108"/>
      <c r="N48" s="127"/>
      <c r="O48" s="108"/>
      <c r="P48" s="106"/>
      <c r="Q48" s="12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8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</row>
    <row r="49" spans="1:198" s="22" customFormat="1" x14ac:dyDescent="0.2">
      <c r="A49" s="92" t="s">
        <v>232</v>
      </c>
      <c r="B49" s="93" t="s">
        <v>233</v>
      </c>
      <c r="C49" s="84" t="s">
        <v>534</v>
      </c>
      <c r="D49" s="105">
        <v>10</v>
      </c>
      <c r="E49" s="94">
        <v>0.1</v>
      </c>
      <c r="F49" s="92">
        <v>38161</v>
      </c>
      <c r="G49" s="216">
        <v>1330</v>
      </c>
      <c r="H49" s="217">
        <v>113</v>
      </c>
      <c r="I49" s="105">
        <v>120</v>
      </c>
      <c r="J49" s="105">
        <f>I49-H49</f>
        <v>7</v>
      </c>
      <c r="K49" s="151">
        <f>((G49*E49)/12)*H49</f>
        <v>1252.4166666666667</v>
      </c>
      <c r="L49" s="103">
        <f>G49-K49</f>
        <v>77.583333333333258</v>
      </c>
      <c r="M49" s="102">
        <v>112.72199999999999</v>
      </c>
      <c r="N49" s="124">
        <v>108.73699999999999</v>
      </c>
      <c r="O49" s="102">
        <f>M49/N49</f>
        <v>1.0366480590783267</v>
      </c>
      <c r="P49" s="104">
        <f>L49*O49</f>
        <v>80.426611916826772</v>
      </c>
      <c r="Q49" s="105">
        <v>36</v>
      </c>
      <c r="R49" s="104">
        <f>G49/Q49*S49</f>
        <v>628.05555555555554</v>
      </c>
      <c r="S49" s="105">
        <v>17</v>
      </c>
      <c r="T49" s="104">
        <f>R49/S49</f>
        <v>36.944444444444443</v>
      </c>
      <c r="U49" s="104">
        <v>36.94</v>
      </c>
      <c r="V49" s="104">
        <v>36.94</v>
      </c>
      <c r="W49" s="104">
        <v>36.94</v>
      </c>
      <c r="X49" s="104">
        <v>36.94</v>
      </c>
      <c r="Y49" s="104">
        <v>36.94</v>
      </c>
      <c r="Z49" s="104">
        <v>36.94</v>
      </c>
      <c r="AA49" s="104">
        <v>36.94</v>
      </c>
      <c r="AB49" s="104">
        <v>36.94</v>
      </c>
      <c r="AC49" s="104">
        <v>36.94</v>
      </c>
      <c r="AD49" s="104">
        <v>36.94</v>
      </c>
      <c r="AE49" s="104">
        <v>36.94</v>
      </c>
      <c r="AF49" s="104">
        <f>SUM(AA49:AE49)</f>
        <v>184.7</v>
      </c>
      <c r="AG49" s="115">
        <f>R49-AF49</f>
        <v>443.35555555555555</v>
      </c>
      <c r="AH49" s="168"/>
    </row>
    <row r="50" spans="1:198" x14ac:dyDescent="0.2">
      <c r="A50" s="41" t="s">
        <v>68</v>
      </c>
      <c r="B50" s="41"/>
      <c r="C50" s="87"/>
      <c r="D50" s="101"/>
      <c r="E50" s="38"/>
      <c r="F50" s="29"/>
      <c r="G50" s="211"/>
      <c r="H50" s="190"/>
      <c r="I50" s="101"/>
      <c r="J50" s="101"/>
      <c r="K50" s="152"/>
      <c r="L50" s="99"/>
      <c r="M50" s="100"/>
      <c r="N50" s="125"/>
      <c r="O50" s="100"/>
      <c r="P50" s="98"/>
      <c r="Q50" s="101"/>
      <c r="R50" s="98"/>
      <c r="S50" s="101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116"/>
      <c r="AH50" s="168"/>
    </row>
    <row r="51" spans="1:198" x14ac:dyDescent="0.2">
      <c r="A51" s="41" t="s">
        <v>103</v>
      </c>
      <c r="B51" s="13"/>
      <c r="C51" s="178"/>
      <c r="D51" s="157"/>
      <c r="E51" s="38"/>
      <c r="F51" s="29"/>
      <c r="G51" s="211"/>
      <c r="H51" s="190"/>
      <c r="I51" s="12"/>
      <c r="J51" s="12"/>
      <c r="K51" s="11"/>
      <c r="L51" s="107"/>
      <c r="M51" s="108"/>
      <c r="N51" s="127"/>
      <c r="O51" s="108"/>
      <c r="P51" s="106"/>
      <c r="Q51" s="12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8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</row>
    <row r="52" spans="1:198" s="22" customFormat="1" x14ac:dyDescent="0.2">
      <c r="A52" s="92" t="s">
        <v>234</v>
      </c>
      <c r="B52" s="93" t="s">
        <v>235</v>
      </c>
      <c r="C52" s="84" t="s">
        <v>534</v>
      </c>
      <c r="D52" s="105">
        <v>3</v>
      </c>
      <c r="E52" s="167">
        <v>0.33329999999999999</v>
      </c>
      <c r="F52" s="92">
        <v>40544</v>
      </c>
      <c r="G52" s="216">
        <v>850</v>
      </c>
      <c r="H52" s="217">
        <v>35</v>
      </c>
      <c r="I52" s="105">
        <v>36</v>
      </c>
      <c r="J52" s="105">
        <f>I52-H52</f>
        <v>1</v>
      </c>
      <c r="K52" s="151">
        <f>((G52*E52)/12)*H52</f>
        <v>826.30624999999998</v>
      </c>
      <c r="L52" s="103">
        <f>G52-K52</f>
        <v>23.693750000000023</v>
      </c>
      <c r="M52" s="102">
        <v>112.72199999999999</v>
      </c>
      <c r="N52" s="124">
        <v>100.22799999999999</v>
      </c>
      <c r="O52" s="102">
        <f>M52/N52</f>
        <v>1.1246557848106318</v>
      </c>
      <c r="P52" s="104">
        <f>L52*O52</f>
        <v>26.647313001356931</v>
      </c>
      <c r="Q52" s="105">
        <v>36</v>
      </c>
      <c r="R52" s="104">
        <f>G52/Q52*S52</f>
        <v>543.05555555555554</v>
      </c>
      <c r="S52" s="105">
        <v>23</v>
      </c>
      <c r="T52" s="104">
        <f>R52/S52</f>
        <v>23.611111111111111</v>
      </c>
      <c r="U52" s="104">
        <v>23.61</v>
      </c>
      <c r="V52" s="104">
        <v>23.61</v>
      </c>
      <c r="W52" s="104">
        <v>23.61</v>
      </c>
      <c r="X52" s="104">
        <v>23.61</v>
      </c>
      <c r="Y52" s="104">
        <v>23.61</v>
      </c>
      <c r="Z52" s="104">
        <v>23.61</v>
      </c>
      <c r="AA52" s="104">
        <v>23.61</v>
      </c>
      <c r="AB52" s="104">
        <v>23.61</v>
      </c>
      <c r="AC52" s="104">
        <v>23.61</v>
      </c>
      <c r="AD52" s="104">
        <v>23.61</v>
      </c>
      <c r="AE52" s="104">
        <v>23.61</v>
      </c>
      <c r="AF52" s="104">
        <f>SUM(U52:AE52)</f>
        <v>259.71000000000004</v>
      </c>
      <c r="AG52" s="115">
        <f>R52-AF52</f>
        <v>283.34555555555551</v>
      </c>
      <c r="AH52" s="168"/>
    </row>
    <row r="53" spans="1:198" x14ac:dyDescent="0.2">
      <c r="A53" s="41" t="s">
        <v>74</v>
      </c>
      <c r="B53" s="41"/>
      <c r="C53" s="87"/>
      <c r="D53" s="101"/>
      <c r="E53" s="38"/>
      <c r="F53" s="29"/>
      <c r="G53" s="211"/>
      <c r="H53" s="190"/>
      <c r="I53" s="101"/>
      <c r="J53" s="101"/>
      <c r="K53" s="152"/>
      <c r="L53" s="99"/>
      <c r="M53" s="100"/>
      <c r="N53" s="125"/>
      <c r="O53" s="100"/>
      <c r="P53" s="98"/>
      <c r="Q53" s="101"/>
      <c r="R53" s="101"/>
      <c r="S53" s="101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116"/>
      <c r="AH53" s="168"/>
    </row>
    <row r="54" spans="1:198" x14ac:dyDescent="0.2">
      <c r="A54" s="41" t="s">
        <v>110</v>
      </c>
      <c r="B54" s="13"/>
      <c r="C54" s="87"/>
      <c r="D54" s="101"/>
      <c r="E54" s="38"/>
      <c r="F54" s="29"/>
      <c r="G54" s="211"/>
      <c r="H54" s="190"/>
      <c r="I54" s="101"/>
      <c r="J54" s="101"/>
      <c r="K54" s="152"/>
      <c r="L54" s="99"/>
      <c r="M54" s="100"/>
      <c r="N54" s="125"/>
      <c r="O54" s="100"/>
      <c r="P54" s="98"/>
      <c r="Q54" s="101"/>
      <c r="R54" s="101"/>
      <c r="S54" s="101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116"/>
      <c r="AH54" s="168"/>
    </row>
    <row r="55" spans="1:198" x14ac:dyDescent="0.2">
      <c r="A55" s="29" t="s">
        <v>236</v>
      </c>
      <c r="B55" s="145" t="s">
        <v>546</v>
      </c>
      <c r="C55" s="87" t="s">
        <v>534</v>
      </c>
      <c r="D55" s="101">
        <v>10</v>
      </c>
      <c r="E55" s="38">
        <v>0.1</v>
      </c>
      <c r="F55" s="29">
        <v>39448</v>
      </c>
      <c r="G55" s="211">
        <v>999</v>
      </c>
      <c r="H55" s="190">
        <v>71</v>
      </c>
      <c r="I55" s="101">
        <v>120</v>
      </c>
      <c r="J55" s="101">
        <f>I55-H55</f>
        <v>49</v>
      </c>
      <c r="K55" s="152">
        <f>((G55*E55)/12)*H55</f>
        <v>591.07500000000005</v>
      </c>
      <c r="L55" s="99">
        <f>G55-K55</f>
        <v>407.92499999999995</v>
      </c>
      <c r="M55" s="100">
        <v>112.72199999999999</v>
      </c>
      <c r="N55" s="125">
        <v>126.146</v>
      </c>
      <c r="O55" s="100">
        <f>M55/N55</f>
        <v>0.89358362532303837</v>
      </c>
      <c r="P55" s="98">
        <f>L55*O55</f>
        <v>364.51510035990037</v>
      </c>
      <c r="Q55" s="101"/>
      <c r="R55" s="98"/>
      <c r="S55" s="101"/>
      <c r="T55" s="98">
        <f>(E55*G55)/12</f>
        <v>8.3250000000000011</v>
      </c>
      <c r="U55" s="98">
        <f>(($G55*E55)/12)</f>
        <v>8.3250000000000011</v>
      </c>
      <c r="V55" s="98">
        <f>(($G55*E55)/12)</f>
        <v>8.3250000000000011</v>
      </c>
      <c r="W55" s="98">
        <v>8.33</v>
      </c>
      <c r="X55" s="98">
        <v>8.33</v>
      </c>
      <c r="Y55" s="98">
        <v>8.33</v>
      </c>
      <c r="Z55" s="98">
        <v>8.33</v>
      </c>
      <c r="AA55" s="98">
        <v>8.33</v>
      </c>
      <c r="AB55" s="98">
        <v>8.33</v>
      </c>
      <c r="AC55" s="98">
        <v>8.33</v>
      </c>
      <c r="AD55" s="98">
        <v>8.33</v>
      </c>
      <c r="AE55" s="98">
        <v>8.33</v>
      </c>
      <c r="AF55" s="98">
        <f>SUM(T55:AE55)</f>
        <v>99.944999999999993</v>
      </c>
      <c r="AG55" s="116">
        <f>L55-AF55</f>
        <v>307.97999999999996</v>
      </c>
      <c r="AH55" s="168"/>
      <c r="AI55" s="22"/>
    </row>
    <row r="56" spans="1:198" x14ac:dyDescent="0.2">
      <c r="A56" s="29" t="s">
        <v>236</v>
      </c>
      <c r="B56" s="13" t="s">
        <v>237</v>
      </c>
      <c r="C56" s="87" t="s">
        <v>534</v>
      </c>
      <c r="D56" s="101">
        <v>10</v>
      </c>
      <c r="E56" s="38">
        <v>0.1</v>
      </c>
      <c r="F56" s="29">
        <v>39448</v>
      </c>
      <c r="G56" s="211">
        <v>739</v>
      </c>
      <c r="H56" s="190">
        <v>71</v>
      </c>
      <c r="I56" s="101">
        <v>120</v>
      </c>
      <c r="J56" s="101">
        <f>I56-H56</f>
        <v>49</v>
      </c>
      <c r="K56" s="152">
        <f>((G56*E56)/12)*H56</f>
        <v>437.24166666666673</v>
      </c>
      <c r="L56" s="99">
        <f>G56-K56</f>
        <v>301.75833333333327</v>
      </c>
      <c r="M56" s="100">
        <v>112.72199999999999</v>
      </c>
      <c r="N56" s="125">
        <v>126.146</v>
      </c>
      <c r="O56" s="100">
        <f>M56/N56</f>
        <v>0.89358362532303837</v>
      </c>
      <c r="P56" s="98">
        <f>L56*O56</f>
        <v>269.64630547143781</v>
      </c>
      <c r="Q56" s="101"/>
      <c r="R56" s="101"/>
      <c r="S56" s="101"/>
      <c r="T56" s="98">
        <f>(E56*G56)/12</f>
        <v>6.1583333333333341</v>
      </c>
      <c r="U56" s="98">
        <f>(($G56*E56)/12)</f>
        <v>6.1583333333333341</v>
      </c>
      <c r="V56" s="98">
        <f>(($G56*E56)/12)</f>
        <v>6.1583333333333341</v>
      </c>
      <c r="W56" s="98">
        <v>6.16</v>
      </c>
      <c r="X56" s="98">
        <v>6.16</v>
      </c>
      <c r="Y56" s="98">
        <v>6.16</v>
      </c>
      <c r="Z56" s="98">
        <v>6.16</v>
      </c>
      <c r="AA56" s="98">
        <v>6.16</v>
      </c>
      <c r="AB56" s="98">
        <v>6.16</v>
      </c>
      <c r="AC56" s="98">
        <v>6.16</v>
      </c>
      <c r="AD56" s="98">
        <v>6.16</v>
      </c>
      <c r="AE56" s="98">
        <v>6.16</v>
      </c>
      <c r="AF56" s="98">
        <f>SUM(T56:AE56)</f>
        <v>73.914999999999978</v>
      </c>
      <c r="AG56" s="116">
        <f>L56-AF56</f>
        <v>227.84333333333331</v>
      </c>
      <c r="AH56" s="168">
        <f>SUM(AG56/(J56-12))</f>
        <v>6.1579279279279273</v>
      </c>
    </row>
    <row r="57" spans="1:198" ht="13.5" x14ac:dyDescent="0.25">
      <c r="A57" s="41" t="s">
        <v>68</v>
      </c>
      <c r="B57" s="41"/>
      <c r="C57" s="101"/>
      <c r="D57" s="119"/>
      <c r="E57" s="46"/>
      <c r="F57" s="15"/>
      <c r="G57" s="212"/>
      <c r="H57" s="213"/>
      <c r="I57" s="101"/>
      <c r="J57" s="101"/>
      <c r="K57" s="152"/>
      <c r="L57" s="99"/>
      <c r="M57" s="100"/>
      <c r="N57" s="125"/>
      <c r="O57" s="100"/>
      <c r="P57" s="98"/>
      <c r="Q57" s="101"/>
      <c r="R57" s="101"/>
      <c r="S57" s="101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116"/>
      <c r="AH57" s="168"/>
    </row>
    <row r="58" spans="1:198" ht="13.5" x14ac:dyDescent="0.25">
      <c r="A58" s="41" t="s">
        <v>238</v>
      </c>
      <c r="B58" s="54"/>
      <c r="C58" s="46"/>
      <c r="D58" s="119"/>
      <c r="E58" s="46"/>
      <c r="F58" s="15"/>
      <c r="G58" s="212"/>
      <c r="H58" s="213"/>
      <c r="I58" s="101"/>
      <c r="J58" s="101"/>
      <c r="K58" s="152"/>
      <c r="L58" s="99"/>
      <c r="M58" s="100"/>
      <c r="N58" s="125"/>
      <c r="O58" s="100"/>
      <c r="P58" s="98"/>
      <c r="Q58" s="101"/>
      <c r="R58" s="98"/>
      <c r="S58" s="101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116"/>
      <c r="AH58" s="168"/>
      <c r="AI58" s="22"/>
    </row>
    <row r="59" spans="1:198" x14ac:dyDescent="0.2">
      <c r="A59" s="92" t="s">
        <v>239</v>
      </c>
      <c r="B59" s="93" t="s">
        <v>240</v>
      </c>
      <c r="C59" s="84" t="s">
        <v>534</v>
      </c>
      <c r="D59" s="105">
        <v>3</v>
      </c>
      <c r="E59" s="167">
        <v>0.33329999999999999</v>
      </c>
      <c r="F59" s="92">
        <v>40544</v>
      </c>
      <c r="G59" s="218">
        <v>1199</v>
      </c>
      <c r="H59" s="217">
        <v>35</v>
      </c>
      <c r="I59" s="105">
        <v>36</v>
      </c>
      <c r="J59" s="105">
        <f>I59-H59</f>
        <v>1</v>
      </c>
      <c r="K59" s="151">
        <f>((G59*E59)/12)*H59</f>
        <v>1165.5778749999999</v>
      </c>
      <c r="L59" s="103">
        <f>G59-K59</f>
        <v>33.422125000000051</v>
      </c>
      <c r="M59" s="102">
        <v>112.72199999999999</v>
      </c>
      <c r="N59" s="124">
        <v>100.22799999999999</v>
      </c>
      <c r="O59" s="102">
        <f>M59/N59</f>
        <v>1.1246557848106318</v>
      </c>
      <c r="P59" s="104">
        <f>L59*O59</f>
        <v>37.588386221914092</v>
      </c>
      <c r="Q59" s="105">
        <v>36</v>
      </c>
      <c r="R59" s="104">
        <f>G59/Q59*S59</f>
        <v>766.02777777777783</v>
      </c>
      <c r="S59" s="105">
        <v>23</v>
      </c>
      <c r="T59" s="104">
        <f>R59/S59</f>
        <v>33.305555555555557</v>
      </c>
      <c r="U59" s="104">
        <v>33.31</v>
      </c>
      <c r="V59" s="104">
        <v>33.31</v>
      </c>
      <c r="W59" s="104">
        <v>33.31</v>
      </c>
      <c r="X59" s="104">
        <v>33.31</v>
      </c>
      <c r="Y59" s="104">
        <v>33.31</v>
      </c>
      <c r="Z59" s="104">
        <v>33.31</v>
      </c>
      <c r="AA59" s="104">
        <v>33.31</v>
      </c>
      <c r="AB59" s="104">
        <v>33.31</v>
      </c>
      <c r="AC59" s="104">
        <v>33.31</v>
      </c>
      <c r="AD59" s="104">
        <v>33.31</v>
      </c>
      <c r="AE59" s="104">
        <v>33.31</v>
      </c>
      <c r="AF59" s="104">
        <f>SUM(U59:AE59)</f>
        <v>366.41</v>
      </c>
      <c r="AG59" s="115">
        <f>R59-AF59</f>
        <v>399.6177777777778</v>
      </c>
      <c r="AH59" s="168">
        <f>SUM(AG59/(J59-12))</f>
        <v>-36.328888888888891</v>
      </c>
    </row>
    <row r="60" spans="1:198" x14ac:dyDescent="0.2">
      <c r="A60" s="92" t="s">
        <v>239</v>
      </c>
      <c r="B60" s="93" t="s">
        <v>241</v>
      </c>
      <c r="C60" s="84" t="s">
        <v>534</v>
      </c>
      <c r="D60" s="105">
        <v>3</v>
      </c>
      <c r="E60" s="167">
        <v>0.33329999999999999</v>
      </c>
      <c r="F60" s="92">
        <v>39448</v>
      </c>
      <c r="G60" s="218">
        <v>1190</v>
      </c>
      <c r="H60" s="217">
        <v>71</v>
      </c>
      <c r="I60" s="105">
        <v>36</v>
      </c>
      <c r="J60" s="105">
        <f>I60-H60</f>
        <v>-35</v>
      </c>
      <c r="K60" s="151">
        <f>((G60*E60)/12)*H60</f>
        <v>2346.70975</v>
      </c>
      <c r="L60" s="103">
        <f>G60-K60</f>
        <v>-1156.70975</v>
      </c>
      <c r="M60" s="102">
        <v>112.72199999999999</v>
      </c>
      <c r="N60" s="124">
        <v>126.146</v>
      </c>
      <c r="O60" s="102">
        <f>M60/N60</f>
        <v>0.89358362532303837</v>
      </c>
      <c r="P60" s="104">
        <f>L60*O60</f>
        <v>-1033.6168918515054</v>
      </c>
      <c r="Q60" s="105">
        <v>36</v>
      </c>
      <c r="R60" s="104">
        <f>G60/Q60*S60</f>
        <v>793.33333333333337</v>
      </c>
      <c r="S60" s="105">
        <v>24</v>
      </c>
      <c r="T60" s="104">
        <f>R60/S60</f>
        <v>33.055555555555557</v>
      </c>
      <c r="U60" s="104">
        <v>33.06</v>
      </c>
      <c r="V60" s="104">
        <v>33.06</v>
      </c>
      <c r="W60" s="104">
        <v>33.06</v>
      </c>
      <c r="X60" s="104">
        <v>33.06</v>
      </c>
      <c r="Y60" s="104">
        <v>33.06</v>
      </c>
      <c r="Z60" s="104">
        <v>33.06</v>
      </c>
      <c r="AA60" s="104">
        <v>33.06</v>
      </c>
      <c r="AB60" s="104">
        <v>33.06</v>
      </c>
      <c r="AC60" s="104">
        <v>33.06</v>
      </c>
      <c r="AD60" s="104">
        <v>33.06</v>
      </c>
      <c r="AE60" s="104">
        <v>33.06</v>
      </c>
      <c r="AF60" s="104">
        <f>SUM(T60:AE60)</f>
        <v>396.71555555555557</v>
      </c>
      <c r="AG60" s="115">
        <f>R60-AF60</f>
        <v>396.6177777777778</v>
      </c>
      <c r="AH60" s="168">
        <f>SUM(AG60/(J60-12))</f>
        <v>-8.438676122931442</v>
      </c>
    </row>
    <row r="61" spans="1:198" x14ac:dyDescent="0.2">
      <c r="A61" s="41" t="s">
        <v>74</v>
      </c>
      <c r="B61" s="41"/>
      <c r="C61" s="46"/>
      <c r="D61" s="119"/>
      <c r="E61" s="38"/>
      <c r="F61" s="29"/>
      <c r="G61" s="211"/>
      <c r="H61" s="190"/>
      <c r="I61" s="101"/>
      <c r="J61" s="101"/>
      <c r="K61" s="152"/>
      <c r="L61" s="99"/>
      <c r="M61" s="100"/>
      <c r="N61" s="125"/>
      <c r="O61" s="100"/>
      <c r="P61" s="98"/>
      <c r="Q61" s="101"/>
      <c r="R61" s="98"/>
      <c r="S61" s="101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116"/>
      <c r="AH61" s="168"/>
      <c r="AI61" s="22"/>
    </row>
    <row r="62" spans="1:198" x14ac:dyDescent="0.2">
      <c r="A62" s="41" t="s">
        <v>242</v>
      </c>
      <c r="B62" s="13"/>
      <c r="C62" s="46"/>
      <c r="D62" s="119"/>
      <c r="E62" s="38"/>
      <c r="F62" s="29"/>
      <c r="G62" s="211"/>
      <c r="H62" s="190"/>
      <c r="I62" s="101"/>
      <c r="J62" s="101"/>
      <c r="K62" s="152"/>
      <c r="L62" s="99"/>
      <c r="M62" s="100"/>
      <c r="N62" s="125"/>
      <c r="O62" s="100"/>
      <c r="P62" s="98"/>
      <c r="Q62" s="101"/>
      <c r="R62" s="101"/>
      <c r="S62" s="101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116"/>
      <c r="AH62" s="168"/>
    </row>
    <row r="63" spans="1:198" x14ac:dyDescent="0.2">
      <c r="A63" s="92" t="s">
        <v>243</v>
      </c>
      <c r="B63" s="93" t="s">
        <v>244</v>
      </c>
      <c r="C63" s="84" t="s">
        <v>534</v>
      </c>
      <c r="D63" s="105">
        <v>10</v>
      </c>
      <c r="E63" s="94">
        <v>0.1</v>
      </c>
      <c r="F63" s="92">
        <v>38000</v>
      </c>
      <c r="G63" s="216">
        <v>1390.43</v>
      </c>
      <c r="H63" s="217">
        <v>119</v>
      </c>
      <c r="I63" s="105">
        <v>120</v>
      </c>
      <c r="J63" s="105">
        <f>I63-H63</f>
        <v>1</v>
      </c>
      <c r="K63" s="151">
        <f>((G63*E63)/12)*H63</f>
        <v>1378.8430833333334</v>
      </c>
      <c r="L63" s="103">
        <f>G63-K63</f>
        <v>11.586916666666639</v>
      </c>
      <c r="M63" s="102">
        <v>112.72199999999999</v>
      </c>
      <c r="N63" s="124">
        <v>112.505</v>
      </c>
      <c r="O63" s="102">
        <f>M63/N63</f>
        <v>1.0019288031643039</v>
      </c>
      <c r="P63" s="104">
        <f>L63*O63</f>
        <v>11.609265548197831</v>
      </c>
      <c r="Q63" s="105">
        <v>36</v>
      </c>
      <c r="R63" s="104">
        <f>G63/Q63*S63</f>
        <v>888.33027777777784</v>
      </c>
      <c r="S63" s="105">
        <v>23</v>
      </c>
      <c r="T63" s="104">
        <f>R63/S63</f>
        <v>38.62305555555556</v>
      </c>
      <c r="U63" s="104">
        <v>38.619999999999997</v>
      </c>
      <c r="V63" s="104">
        <v>38.619999999999997</v>
      </c>
      <c r="W63" s="104">
        <v>38.619999999999997</v>
      </c>
      <c r="X63" s="104">
        <v>38.619999999999997</v>
      </c>
      <c r="Y63" s="104">
        <v>38.619999999999997</v>
      </c>
      <c r="Z63" s="104">
        <v>38.619999999999997</v>
      </c>
      <c r="AA63" s="104">
        <v>38.619999999999997</v>
      </c>
      <c r="AB63" s="104">
        <v>38.619999999999997</v>
      </c>
      <c r="AC63" s="104">
        <v>38.619999999999997</v>
      </c>
      <c r="AD63" s="104">
        <v>38.619999999999997</v>
      </c>
      <c r="AE63" s="104">
        <v>38.619999999999997</v>
      </c>
      <c r="AF63" s="104">
        <f>SUM(U63:AE63)</f>
        <v>424.82</v>
      </c>
      <c r="AG63" s="115">
        <f>R63-AF63</f>
        <v>463.51027777777784</v>
      </c>
      <c r="AH63" s="168">
        <f>SUM(AG63/(J63-12))</f>
        <v>-42.137297979797985</v>
      </c>
    </row>
    <row r="64" spans="1:198" x14ac:dyDescent="0.2">
      <c r="A64" s="41" t="s">
        <v>74</v>
      </c>
      <c r="B64" s="41"/>
      <c r="C64" s="46"/>
      <c r="D64" s="119"/>
      <c r="E64" s="38"/>
      <c r="F64" s="29"/>
      <c r="G64" s="211"/>
      <c r="H64" s="190"/>
      <c r="I64" s="101"/>
      <c r="J64" s="101"/>
      <c r="K64" s="152"/>
      <c r="L64" s="99"/>
      <c r="M64" s="100"/>
      <c r="N64" s="125"/>
      <c r="O64" s="100"/>
      <c r="P64" s="98"/>
      <c r="Q64" s="101"/>
      <c r="R64" s="98"/>
      <c r="S64" s="101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116"/>
    </row>
    <row r="65" spans="1:33" x14ac:dyDescent="0.2">
      <c r="A65" s="214" t="s">
        <v>245</v>
      </c>
      <c r="B65" s="215"/>
      <c r="C65" s="46"/>
      <c r="D65" s="119"/>
      <c r="E65" s="38"/>
      <c r="F65" s="29"/>
      <c r="G65" s="211"/>
      <c r="H65" s="190"/>
      <c r="I65" s="101"/>
      <c r="J65" s="101"/>
      <c r="K65" s="152"/>
      <c r="L65" s="99"/>
      <c r="M65" s="100"/>
      <c r="N65" s="125"/>
      <c r="O65" s="100"/>
      <c r="P65" s="98"/>
      <c r="Q65" s="101"/>
      <c r="R65" s="101"/>
      <c r="S65" s="101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116"/>
    </row>
    <row r="66" spans="1:33" x14ac:dyDescent="0.2">
      <c r="A66" s="29" t="s">
        <v>247</v>
      </c>
      <c r="B66" s="13" t="s">
        <v>248</v>
      </c>
      <c r="C66" s="87" t="s">
        <v>534</v>
      </c>
      <c r="D66" s="101">
        <v>10</v>
      </c>
      <c r="E66" s="38">
        <v>0.1</v>
      </c>
      <c r="F66" s="29">
        <v>40909</v>
      </c>
      <c r="G66" s="211">
        <v>240</v>
      </c>
      <c r="H66" s="190">
        <v>23</v>
      </c>
      <c r="I66" s="101">
        <v>120</v>
      </c>
      <c r="J66" s="101">
        <f>I66-H66</f>
        <v>97</v>
      </c>
      <c r="K66" s="152">
        <f>((G66*E66)/12)*H66</f>
        <v>46</v>
      </c>
      <c r="L66" s="99">
        <f>G66-K66</f>
        <v>194</v>
      </c>
      <c r="M66" s="100">
        <v>112.72199999999999</v>
      </c>
      <c r="N66" s="125">
        <v>104.28400000000001</v>
      </c>
      <c r="O66" s="100">
        <f>M66/N66</f>
        <v>1.0809136588546659</v>
      </c>
      <c r="P66" s="98">
        <f>L66*O66</f>
        <v>209.69724981780519</v>
      </c>
      <c r="Q66" s="101"/>
      <c r="R66" s="101"/>
      <c r="S66" s="101"/>
      <c r="T66" s="98">
        <v>2</v>
      </c>
      <c r="U66" s="98">
        <f>(($G66*E66)/12)</f>
        <v>2</v>
      </c>
      <c r="V66" s="98">
        <f>(($G66*E66)/12)</f>
        <v>2</v>
      </c>
      <c r="W66" s="98">
        <v>2</v>
      </c>
      <c r="X66" s="98">
        <v>2</v>
      </c>
      <c r="Y66" s="98">
        <v>2</v>
      </c>
      <c r="Z66" s="98">
        <v>2</v>
      </c>
      <c r="AA66" s="98">
        <v>2</v>
      </c>
      <c r="AB66" s="98">
        <v>2</v>
      </c>
      <c r="AC66" s="98">
        <v>2</v>
      </c>
      <c r="AD66" s="98">
        <v>2</v>
      </c>
      <c r="AE66" s="98">
        <v>2</v>
      </c>
      <c r="AF66" s="98">
        <f>SUM(T66:AE66)</f>
        <v>24</v>
      </c>
      <c r="AG66" s="116">
        <f>L66-AF66</f>
        <v>170</v>
      </c>
    </row>
    <row r="67" spans="1:33" x14ac:dyDescent="0.2">
      <c r="AF67" s="17">
        <f>SUM(AF16:AF66)</f>
        <v>8182.6406194444435</v>
      </c>
      <c r="AG67" s="17">
        <f>SUM(AG16:AG66)</f>
        <v>11551.111516666664</v>
      </c>
    </row>
    <row r="69" spans="1:33" x14ac:dyDescent="0.2">
      <c r="A69" s="156" t="s">
        <v>460</v>
      </c>
      <c r="B69" s="132"/>
      <c r="C69" s="132"/>
      <c r="D69" s="133"/>
      <c r="E69" s="133"/>
      <c r="F69" s="134"/>
      <c r="G69" s="166"/>
      <c r="H69" s="133"/>
      <c r="I69" s="132"/>
      <c r="J69" s="132"/>
    </row>
  </sheetData>
  <mergeCells count="8">
    <mergeCell ref="Q9:S10"/>
    <mergeCell ref="A11:A12"/>
    <mergeCell ref="B11:B12"/>
    <mergeCell ref="E11:E12"/>
    <mergeCell ref="F11:F12"/>
    <mergeCell ref="G11:G12"/>
    <mergeCell ref="H11:H12"/>
    <mergeCell ref="K11:K12"/>
  </mergeCells>
  <pageMargins left="0.59055118110236227" right="7.874015748031496E-2" top="0.98425196850393704" bottom="0.98425196850393704" header="0" footer="0"/>
  <pageSetup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79"/>
  <sheetViews>
    <sheetView topLeftCell="S50" zoomScale="130" zoomScaleNormal="130" workbookViewId="0">
      <selection activeCell="Y86" sqref="Y86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3.710937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9.140625" hidden="1" customWidth="1"/>
    <col min="38" max="39" width="7.7109375" hidden="1" customWidth="1"/>
    <col min="40" max="40" width="9.140625" customWidth="1"/>
    <col min="41" max="41" width="9.28515625" customWidth="1"/>
    <col min="42" max="42" width="10" style="113" customWidth="1"/>
    <col min="43" max="45" width="11.42578125" style="22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645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5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2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54" t="s">
        <v>680</v>
      </c>
      <c r="O11" s="556" t="s">
        <v>643</v>
      </c>
      <c r="P11" s="26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645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172" t="s">
        <v>68</v>
      </c>
      <c r="B13" s="172"/>
      <c r="C13" s="172"/>
      <c r="D13" s="118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172" t="s">
        <v>69</v>
      </c>
      <c r="B14" s="240"/>
      <c r="C14" s="172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87" t="s">
        <v>70</v>
      </c>
      <c r="B15" s="87" t="s">
        <v>614</v>
      </c>
      <c r="C15" s="87" t="s">
        <v>456</v>
      </c>
      <c r="D15" s="101">
        <v>3</v>
      </c>
      <c r="E15" s="91">
        <v>0.33329999999999999</v>
      </c>
      <c r="F15" s="88">
        <v>42185</v>
      </c>
      <c r="G15" s="90">
        <v>36</v>
      </c>
      <c r="H15" s="201">
        <f t="shared" ref="H15:H20" si="0">100/G15</f>
        <v>2.7777777777777777</v>
      </c>
      <c r="I15" s="233">
        <f>H15*J15</f>
        <v>75</v>
      </c>
      <c r="J15" s="90">
        <f t="shared" ref="J15:J20" si="1">(YEAR(F15)-YEAR(S15))*12+MONTH(F15)-MONTH(S15)</f>
        <v>27</v>
      </c>
      <c r="K15" s="233">
        <f t="shared" ref="K15:K20" si="2">L15*H15</f>
        <v>25</v>
      </c>
      <c r="L15" s="90">
        <f t="shared" ref="L15:L20" si="3">G15-J15</f>
        <v>9</v>
      </c>
      <c r="M15" s="233">
        <f t="shared" ref="M15:M20" si="4">N15*H15</f>
        <v>19.444444444444443</v>
      </c>
      <c r="N15" s="90">
        <v>7</v>
      </c>
      <c r="O15" s="233">
        <f>P15*H15</f>
        <v>5.5555555555555554</v>
      </c>
      <c r="P15" s="90">
        <f t="shared" ref="O15:P19" si="5">L15-N15</f>
        <v>2</v>
      </c>
      <c r="Q15" s="88">
        <v>42428</v>
      </c>
      <c r="R15" s="88" t="s">
        <v>638</v>
      </c>
      <c r="S15" s="88">
        <v>41359</v>
      </c>
      <c r="T15" s="89">
        <v>8352</v>
      </c>
      <c r="U15" s="89">
        <v>2320.5700000000002</v>
      </c>
      <c r="V15" s="152">
        <v>1159.9000000000001</v>
      </c>
      <c r="W15" s="233">
        <v>0</v>
      </c>
      <c r="X15" s="100">
        <v>115.958</v>
      </c>
      <c r="Y15" s="125">
        <v>109.002</v>
      </c>
      <c r="Z15" s="100">
        <f t="shared" ref="Z15:Z20" si="6">X15/Y15</f>
        <v>1.0638153428377461</v>
      </c>
      <c r="AA15" s="98">
        <f>U15*M15/100/K15*100/7</f>
        <v>257.84111111111105</v>
      </c>
      <c r="AB15" s="98">
        <f>AA15*Z15</f>
        <v>274.29533001433202</v>
      </c>
      <c r="AC15" s="98"/>
      <c r="AD15" s="98"/>
      <c r="AE15" s="98"/>
      <c r="AF15" s="98"/>
      <c r="AG15" s="98"/>
      <c r="AH15" s="98">
        <f>AB15</f>
        <v>274.29533001433202</v>
      </c>
      <c r="AI15" s="98">
        <v>274.29533001433202</v>
      </c>
      <c r="AJ15" s="98">
        <v>274.29533001433202</v>
      </c>
      <c r="AK15" s="98">
        <v>274.29533001433202</v>
      </c>
      <c r="AL15" s="98">
        <v>274.29533001433202</v>
      </c>
      <c r="AM15" s="98">
        <v>274.29533001433202</v>
      </c>
      <c r="AN15" s="98">
        <v>274.29533001433202</v>
      </c>
      <c r="AO15" s="98">
        <f t="shared" ref="AO15:AO20" si="7">SUM(AC15:AN15)</f>
        <v>1920.067310100324</v>
      </c>
      <c r="AP15" s="116">
        <f>U15-AO15</f>
        <v>400.50268989967617</v>
      </c>
      <c r="AQ15" s="168"/>
    </row>
    <row r="16" spans="1:43" s="22" customFormat="1" x14ac:dyDescent="0.2">
      <c r="A16" s="87" t="s">
        <v>70</v>
      </c>
      <c r="B16" s="87" t="s">
        <v>615</v>
      </c>
      <c r="C16" s="87" t="s">
        <v>456</v>
      </c>
      <c r="D16" s="101">
        <v>3</v>
      </c>
      <c r="E16" s="91">
        <v>0.33329999999999999</v>
      </c>
      <c r="F16" s="88">
        <v>42185</v>
      </c>
      <c r="G16" s="90">
        <v>36</v>
      </c>
      <c r="H16" s="201">
        <f t="shared" si="0"/>
        <v>2.7777777777777777</v>
      </c>
      <c r="I16" s="233">
        <f t="shared" ref="I16:I19" si="8">H16*J16</f>
        <v>116.66666666666666</v>
      </c>
      <c r="J16" s="90">
        <f t="shared" si="1"/>
        <v>42</v>
      </c>
      <c r="K16" s="233">
        <f t="shared" si="2"/>
        <v>-16.666666666666664</v>
      </c>
      <c r="L16" s="90">
        <f t="shared" si="3"/>
        <v>-6</v>
      </c>
      <c r="M16" s="233">
        <f t="shared" si="4"/>
        <v>19.444444444444443</v>
      </c>
      <c r="N16" s="90">
        <v>7</v>
      </c>
      <c r="O16" s="233">
        <f t="shared" si="5"/>
        <v>-36.111111111111107</v>
      </c>
      <c r="P16" s="90">
        <f t="shared" si="5"/>
        <v>-13</v>
      </c>
      <c r="Q16" s="90"/>
      <c r="R16" s="171" t="s">
        <v>639</v>
      </c>
      <c r="S16" s="88">
        <v>40896</v>
      </c>
      <c r="T16" s="89">
        <v>9205.98</v>
      </c>
      <c r="U16" s="18">
        <v>1</v>
      </c>
      <c r="V16" s="152">
        <v>0</v>
      </c>
      <c r="W16" s="110"/>
      <c r="X16" s="100">
        <v>115.958</v>
      </c>
      <c r="Y16" s="125">
        <v>103.551</v>
      </c>
      <c r="Z16" s="100">
        <f t="shared" si="6"/>
        <v>1.119815356684146</v>
      </c>
      <c r="AA16" s="98">
        <v>0</v>
      </c>
      <c r="AB16" s="98"/>
      <c r="AC16" s="98"/>
      <c r="AD16" s="98"/>
      <c r="AE16" s="98"/>
      <c r="AF16" s="98"/>
      <c r="AG16" s="98"/>
      <c r="AH16" s="98">
        <f>AB16</f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f t="shared" si="7"/>
        <v>0</v>
      </c>
      <c r="AP16" s="116">
        <v>1</v>
      </c>
    </row>
    <row r="17" spans="1:45" s="22" customFormat="1" x14ac:dyDescent="0.2">
      <c r="A17" s="145" t="s">
        <v>70</v>
      </c>
      <c r="B17" s="145" t="s">
        <v>616</v>
      </c>
      <c r="C17" s="145" t="s">
        <v>451</v>
      </c>
      <c r="D17" s="101">
        <v>3</v>
      </c>
      <c r="E17" s="181">
        <v>0.33329999999999999</v>
      </c>
      <c r="F17" s="88">
        <v>42185</v>
      </c>
      <c r="G17" s="90">
        <v>36</v>
      </c>
      <c r="H17" s="201">
        <f t="shared" si="0"/>
        <v>2.7777777777777777</v>
      </c>
      <c r="I17" s="233">
        <f t="shared" si="8"/>
        <v>108.33333333333333</v>
      </c>
      <c r="J17" s="90">
        <f t="shared" si="1"/>
        <v>39</v>
      </c>
      <c r="K17" s="233">
        <f t="shared" si="2"/>
        <v>-8.3333333333333321</v>
      </c>
      <c r="L17" s="90">
        <f t="shared" si="3"/>
        <v>-3</v>
      </c>
      <c r="M17" s="233">
        <f t="shared" si="4"/>
        <v>19.444444444444443</v>
      </c>
      <c r="N17" s="90">
        <v>7</v>
      </c>
      <c r="O17" s="233">
        <f>K17-M17</f>
        <v>-27.777777777777775</v>
      </c>
      <c r="P17" s="90">
        <f t="shared" si="5"/>
        <v>-10</v>
      </c>
      <c r="Q17" s="90"/>
      <c r="R17" s="171" t="s">
        <v>640</v>
      </c>
      <c r="S17" s="171">
        <v>40988</v>
      </c>
      <c r="T17" s="188">
        <v>9615.18</v>
      </c>
      <c r="U17" s="18">
        <v>1</v>
      </c>
      <c r="V17" s="152">
        <v>802.16</v>
      </c>
      <c r="W17" s="110"/>
      <c r="X17" s="100">
        <v>115.958</v>
      </c>
      <c r="Y17" s="125">
        <v>104.556</v>
      </c>
      <c r="Z17" s="100">
        <f t="shared" si="6"/>
        <v>1.1090516087072957</v>
      </c>
      <c r="AA17" s="98">
        <v>0</v>
      </c>
      <c r="AB17" s="98"/>
      <c r="AC17" s="98"/>
      <c r="AD17" s="98"/>
      <c r="AE17" s="98"/>
      <c r="AF17" s="98"/>
      <c r="AG17" s="98"/>
      <c r="AH17" s="98">
        <f>AB17</f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f t="shared" si="7"/>
        <v>0</v>
      </c>
      <c r="AP17" s="116">
        <v>1</v>
      </c>
    </row>
    <row r="18" spans="1:45" s="22" customFormat="1" x14ac:dyDescent="0.2">
      <c r="A18" s="145" t="s">
        <v>70</v>
      </c>
      <c r="B18" s="145" t="s">
        <v>616</v>
      </c>
      <c r="C18" s="145" t="s">
        <v>457</v>
      </c>
      <c r="D18" s="101">
        <v>3</v>
      </c>
      <c r="E18" s="181">
        <v>0.33329999999999999</v>
      </c>
      <c r="F18" s="88">
        <v>42185</v>
      </c>
      <c r="G18" s="90">
        <v>36</v>
      </c>
      <c r="H18" s="201">
        <f t="shared" si="0"/>
        <v>2.7777777777777777</v>
      </c>
      <c r="I18" s="233">
        <f t="shared" si="8"/>
        <v>105.55555555555556</v>
      </c>
      <c r="J18" s="90">
        <f t="shared" si="1"/>
        <v>38</v>
      </c>
      <c r="K18" s="233">
        <f t="shared" si="2"/>
        <v>-5.5555555555555554</v>
      </c>
      <c r="L18" s="90">
        <f t="shared" si="3"/>
        <v>-2</v>
      </c>
      <c r="M18" s="233">
        <f t="shared" si="4"/>
        <v>19.444444444444443</v>
      </c>
      <c r="N18" s="90">
        <v>7</v>
      </c>
      <c r="O18" s="233">
        <f t="shared" si="5"/>
        <v>-25</v>
      </c>
      <c r="P18" s="90">
        <f t="shared" si="5"/>
        <v>-9</v>
      </c>
      <c r="Q18" s="90"/>
      <c r="R18" s="88" t="s">
        <v>641</v>
      </c>
      <c r="S18" s="171">
        <v>41000</v>
      </c>
      <c r="T18" s="188">
        <v>8999.01</v>
      </c>
      <c r="U18" s="18">
        <v>1</v>
      </c>
      <c r="V18" s="152">
        <v>1000.67</v>
      </c>
      <c r="W18" s="233">
        <v>0</v>
      </c>
      <c r="X18" s="100">
        <v>115.958</v>
      </c>
      <c r="Y18" s="125">
        <v>104.22799999999999</v>
      </c>
      <c r="Z18" s="100">
        <f t="shared" si="6"/>
        <v>1.1125417354261811</v>
      </c>
      <c r="AA18" s="98">
        <v>0</v>
      </c>
      <c r="AB18" s="98"/>
      <c r="AC18" s="98"/>
      <c r="AD18" s="98"/>
      <c r="AE18" s="98"/>
      <c r="AF18" s="98"/>
      <c r="AG18" s="98"/>
      <c r="AH18" s="98">
        <f>AB18</f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0</v>
      </c>
      <c r="AO18" s="98">
        <f t="shared" si="7"/>
        <v>0</v>
      </c>
      <c r="AP18" s="116">
        <v>1</v>
      </c>
    </row>
    <row r="19" spans="1:45" s="22" customFormat="1" x14ac:dyDescent="0.2">
      <c r="A19" s="145" t="s">
        <v>581</v>
      </c>
      <c r="B19" s="145" t="s">
        <v>580</v>
      </c>
      <c r="C19" s="145" t="s">
        <v>457</v>
      </c>
      <c r="D19" s="101">
        <v>3</v>
      </c>
      <c r="E19" s="181">
        <v>0.33329999999999999</v>
      </c>
      <c r="F19" s="88">
        <v>42185</v>
      </c>
      <c r="G19" s="90">
        <v>36</v>
      </c>
      <c r="H19" s="201">
        <f t="shared" si="0"/>
        <v>2.7777777777777777</v>
      </c>
      <c r="I19" s="233">
        <f t="shared" si="8"/>
        <v>11.111111111111111</v>
      </c>
      <c r="J19" s="90">
        <f t="shared" si="1"/>
        <v>4</v>
      </c>
      <c r="K19" s="233">
        <f t="shared" si="2"/>
        <v>88.888888888888886</v>
      </c>
      <c r="L19" s="90">
        <f t="shared" si="3"/>
        <v>32</v>
      </c>
      <c r="M19" s="233">
        <f t="shared" si="4"/>
        <v>19.444444444444443</v>
      </c>
      <c r="N19" s="90">
        <v>7</v>
      </c>
      <c r="O19" s="233">
        <f t="shared" si="5"/>
        <v>69.444444444444443</v>
      </c>
      <c r="P19" s="90">
        <f t="shared" si="5"/>
        <v>25</v>
      </c>
      <c r="Q19" s="90"/>
      <c r="R19" s="88" t="s">
        <v>642</v>
      </c>
      <c r="S19" s="171">
        <v>42058</v>
      </c>
      <c r="T19" s="188">
        <v>208.8</v>
      </c>
      <c r="U19" s="89">
        <v>208.8</v>
      </c>
      <c r="V19" s="152">
        <v>0</v>
      </c>
      <c r="W19" s="233">
        <v>0</v>
      </c>
      <c r="X19" s="100">
        <v>115.958</v>
      </c>
      <c r="Y19" s="125">
        <v>104.22799999999999</v>
      </c>
      <c r="Z19" s="100">
        <f t="shared" si="6"/>
        <v>1.1125417354261811</v>
      </c>
      <c r="AA19" s="98">
        <f>U19*M19/100/K19*100/7</f>
        <v>6.5250000000000004</v>
      </c>
      <c r="AB19" s="98">
        <f>AA19*Z19</f>
        <v>7.2593348236558315</v>
      </c>
      <c r="AC19" s="98"/>
      <c r="AD19" s="98"/>
      <c r="AE19" s="98"/>
      <c r="AF19" s="98"/>
      <c r="AG19" s="98"/>
      <c r="AH19" s="98">
        <f>AB19</f>
        <v>7.2593348236558315</v>
      </c>
      <c r="AI19" s="98">
        <v>7.2593348236558315</v>
      </c>
      <c r="AJ19" s="98">
        <v>7.2593348236558315</v>
      </c>
      <c r="AK19" s="98">
        <v>7.2593348236558315</v>
      </c>
      <c r="AL19" s="98">
        <v>7.2593348236558315</v>
      </c>
      <c r="AM19" s="98">
        <v>7.2593348236558315</v>
      </c>
      <c r="AN19" s="98">
        <v>7.2593348236558315</v>
      </c>
      <c r="AO19" s="98">
        <f t="shared" si="7"/>
        <v>50.815343765590825</v>
      </c>
      <c r="AP19" s="116">
        <f>U19-AO19</f>
        <v>157.98465623440919</v>
      </c>
    </row>
    <row r="20" spans="1:45" s="404" customFormat="1" x14ac:dyDescent="0.2">
      <c r="A20" s="388" t="s">
        <v>70</v>
      </c>
      <c r="B20" s="388" t="s">
        <v>822</v>
      </c>
      <c r="C20" s="388" t="s">
        <v>456</v>
      </c>
      <c r="D20" s="389">
        <v>3</v>
      </c>
      <c r="E20" s="403">
        <v>0.33329999999999999</v>
      </c>
      <c r="F20" s="391">
        <v>42217</v>
      </c>
      <c r="G20" s="392">
        <v>37</v>
      </c>
      <c r="H20" s="393">
        <f t="shared" si="0"/>
        <v>2.7027027027027026</v>
      </c>
      <c r="I20" s="394">
        <f t="shared" ref="I20" si="9">H20*J20</f>
        <v>0</v>
      </c>
      <c r="J20" s="392">
        <f t="shared" si="1"/>
        <v>0</v>
      </c>
      <c r="K20" s="394">
        <f t="shared" si="2"/>
        <v>100</v>
      </c>
      <c r="L20" s="392">
        <f t="shared" si="3"/>
        <v>37</v>
      </c>
      <c r="M20" s="394">
        <f t="shared" si="4"/>
        <v>10.810810810810811</v>
      </c>
      <c r="N20" s="392">
        <v>4</v>
      </c>
      <c r="O20" s="394">
        <f t="shared" ref="O20" si="10">K20-M20</f>
        <v>89.189189189189193</v>
      </c>
      <c r="P20" s="392">
        <f t="shared" ref="P20" si="11">L20-N20</f>
        <v>33</v>
      </c>
      <c r="Q20" s="392"/>
      <c r="R20" s="391" t="s">
        <v>823</v>
      </c>
      <c r="S20" s="395">
        <v>42227</v>
      </c>
      <c r="T20" s="396">
        <v>16263.66</v>
      </c>
      <c r="U20" s="397">
        <v>0</v>
      </c>
      <c r="V20" s="398">
        <v>0</v>
      </c>
      <c r="W20" s="394">
        <v>0</v>
      </c>
      <c r="X20" s="399">
        <v>115.958</v>
      </c>
      <c r="Y20" s="400">
        <v>116.373</v>
      </c>
      <c r="Z20" s="399">
        <f t="shared" si="6"/>
        <v>0.99643388071116146</v>
      </c>
      <c r="AA20" s="401">
        <f>T20*M20/100/K20*100/7</f>
        <v>251.17621621621615</v>
      </c>
      <c r="AB20" s="401">
        <f>AA20*Z20</f>
        <v>250.28049186667002</v>
      </c>
      <c r="AC20" s="401"/>
      <c r="AD20" s="401"/>
      <c r="AE20" s="401"/>
      <c r="AF20" s="401"/>
      <c r="AG20" s="401"/>
      <c r="AH20" s="401">
        <v>0</v>
      </c>
      <c r="AI20" s="401">
        <v>0</v>
      </c>
      <c r="AJ20" s="401">
        <v>0</v>
      </c>
      <c r="AK20" s="401">
        <f t="shared" ref="AK20:AN20" si="12">250.28</f>
        <v>250.28</v>
      </c>
      <c r="AL20" s="401">
        <f t="shared" si="12"/>
        <v>250.28</v>
      </c>
      <c r="AM20" s="401">
        <f t="shared" si="12"/>
        <v>250.28</v>
      </c>
      <c r="AN20" s="401">
        <f t="shared" si="12"/>
        <v>250.28</v>
      </c>
      <c r="AO20" s="447">
        <f t="shared" si="7"/>
        <v>1001.12</v>
      </c>
      <c r="AP20" s="402">
        <f>T20-AO20</f>
        <v>15262.539999999999</v>
      </c>
      <c r="AQ20" s="22"/>
      <c r="AR20" s="22"/>
      <c r="AS20" s="22"/>
    </row>
    <row r="21" spans="1:45" s="22" customFormat="1" x14ac:dyDescent="0.2">
      <c r="A21" s="172" t="s">
        <v>364</v>
      </c>
      <c r="B21" s="172"/>
      <c r="C21" s="172"/>
      <c r="D21" s="185"/>
      <c r="E21" s="157"/>
      <c r="F21" s="88"/>
      <c r="G21" s="90"/>
      <c r="H21" s="201"/>
      <c r="I21" s="90"/>
      <c r="J21" s="90"/>
      <c r="K21" s="90"/>
      <c r="L21" s="90"/>
      <c r="M21" s="90"/>
      <c r="N21" s="90"/>
      <c r="O21" s="90"/>
      <c r="P21" s="90"/>
      <c r="Q21" s="90"/>
      <c r="R21" s="88"/>
      <c r="S21" s="186"/>
      <c r="T21" s="187"/>
      <c r="U21" s="89"/>
      <c r="V21" s="152"/>
      <c r="W21" s="233">
        <v>0</v>
      </c>
      <c r="X21" s="100"/>
      <c r="Y21" s="126"/>
      <c r="Z21" s="100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116"/>
    </row>
    <row r="22" spans="1:45" s="22" customFormat="1" x14ac:dyDescent="0.2">
      <c r="A22" s="172" t="s">
        <v>365</v>
      </c>
      <c r="B22" s="178"/>
      <c r="C22" s="178"/>
      <c r="D22" s="157"/>
      <c r="E22" s="157"/>
      <c r="F22" s="88"/>
      <c r="G22" s="90"/>
      <c r="H22" s="201"/>
      <c r="I22" s="90"/>
      <c r="J22" s="90"/>
      <c r="K22" s="90"/>
      <c r="L22" s="90"/>
      <c r="M22" s="90"/>
      <c r="N22" s="90"/>
      <c r="O22" s="90"/>
      <c r="P22" s="90"/>
      <c r="Q22" s="90"/>
      <c r="R22" s="88"/>
      <c r="S22" s="171"/>
      <c r="T22" s="188"/>
      <c r="U22" s="89"/>
      <c r="V22" s="152"/>
      <c r="W22" s="233">
        <v>0</v>
      </c>
      <c r="X22" s="100"/>
      <c r="Y22" s="127"/>
      <c r="Z22" s="10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</row>
    <row r="23" spans="1:45" s="22" customFormat="1" x14ac:dyDescent="0.2">
      <c r="A23" s="145" t="s">
        <v>366</v>
      </c>
      <c r="B23" s="87" t="s">
        <v>617</v>
      </c>
      <c r="C23" s="87" t="s">
        <v>456</v>
      </c>
      <c r="D23" s="101">
        <v>3</v>
      </c>
      <c r="E23" s="91">
        <v>0.33329999999999999</v>
      </c>
      <c r="F23" s="88">
        <v>42185</v>
      </c>
      <c r="G23" s="90">
        <v>36</v>
      </c>
      <c r="H23" s="201">
        <f>100/G23</f>
        <v>2.7777777777777777</v>
      </c>
      <c r="I23" s="233">
        <f t="shared" ref="I23" si="13">H23*J23</f>
        <v>80.555555555555557</v>
      </c>
      <c r="J23" s="90">
        <f>(YEAR(F23)-YEAR(S23))*12+MONTH(F23)-MONTH(S23)</f>
        <v>29</v>
      </c>
      <c r="K23" s="233">
        <f>L23*H23</f>
        <v>19.444444444444443</v>
      </c>
      <c r="L23" s="90">
        <f>G23-J23</f>
        <v>7</v>
      </c>
      <c r="M23" s="233">
        <f>N23*H23</f>
        <v>19.444444444444443</v>
      </c>
      <c r="N23" s="90">
        <v>7</v>
      </c>
      <c r="O23" s="233">
        <f>K23-M23</f>
        <v>0</v>
      </c>
      <c r="P23" s="90">
        <f>L23-N23</f>
        <v>0</v>
      </c>
      <c r="Q23" s="90">
        <f>M23-O23</f>
        <v>19.444444444444443</v>
      </c>
      <c r="R23" s="88" t="s">
        <v>646</v>
      </c>
      <c r="S23" s="88">
        <v>41277</v>
      </c>
      <c r="T23" s="89">
        <v>899</v>
      </c>
      <c r="U23" s="89">
        <v>174.87</v>
      </c>
      <c r="V23" s="152">
        <v>124.85</v>
      </c>
      <c r="W23" s="233">
        <v>0</v>
      </c>
      <c r="X23" s="100">
        <v>115.958</v>
      </c>
      <c r="Y23" s="125">
        <v>107.678</v>
      </c>
      <c r="Z23" s="100">
        <f>X23/Y23</f>
        <v>1.0768959304593324</v>
      </c>
      <c r="AA23" s="98">
        <f>U23*M23/100/K23*100/7</f>
        <v>24.981428571428573</v>
      </c>
      <c r="AB23" s="98">
        <f>AA23*Z23</f>
        <v>26.902398765631926</v>
      </c>
      <c r="AC23" s="98"/>
      <c r="AD23" s="98"/>
      <c r="AE23" s="98"/>
      <c r="AF23" s="98"/>
      <c r="AG23" s="98"/>
      <c r="AH23" s="98">
        <f>AB23</f>
        <v>26.902398765631926</v>
      </c>
      <c r="AI23" s="98">
        <v>26.902398765631926</v>
      </c>
      <c r="AJ23" s="98">
        <v>26.902398765631926</v>
      </c>
      <c r="AK23" s="98">
        <v>26.902398765631926</v>
      </c>
      <c r="AL23" s="98">
        <v>26.902398765631926</v>
      </c>
      <c r="AM23" s="98">
        <v>26.902398765631926</v>
      </c>
      <c r="AN23" s="98">
        <v>12.46</v>
      </c>
      <c r="AO23" s="98">
        <f>SUM(AC23:AN23)</f>
        <v>173.87439259379155</v>
      </c>
      <c r="AP23" s="116">
        <f>U23-AO23</f>
        <v>0.99560740620844967</v>
      </c>
    </row>
    <row r="24" spans="1:45" s="22" customFormat="1" x14ac:dyDescent="0.2">
      <c r="A24" s="172" t="s">
        <v>74</v>
      </c>
      <c r="B24" s="172"/>
      <c r="C24" s="172"/>
      <c r="D24" s="185"/>
      <c r="E24" s="10"/>
      <c r="F24" s="88"/>
      <c r="G24" s="90"/>
      <c r="H24" s="201"/>
      <c r="I24" s="90"/>
      <c r="J24" s="90"/>
      <c r="K24" s="90"/>
      <c r="L24" s="90"/>
      <c r="M24" s="90"/>
      <c r="N24" s="90"/>
      <c r="O24" s="90"/>
      <c r="P24" s="90"/>
      <c r="Q24" s="90"/>
      <c r="R24" s="88"/>
      <c r="S24" s="186"/>
      <c r="T24" s="187"/>
      <c r="U24" s="89"/>
      <c r="V24" s="152"/>
      <c r="W24" s="233">
        <v>0</v>
      </c>
      <c r="X24" s="100"/>
      <c r="Y24" s="126"/>
      <c r="Z24" s="100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116"/>
    </row>
    <row r="25" spans="1:45" s="22" customFormat="1" x14ac:dyDescent="0.2">
      <c r="A25" s="172" t="s">
        <v>80</v>
      </c>
      <c r="B25" s="46"/>
      <c r="C25" s="46"/>
      <c r="D25" s="119"/>
      <c r="E25" s="157"/>
      <c r="F25" s="24"/>
      <c r="G25" s="24"/>
      <c r="H25" s="256"/>
      <c r="I25" s="24"/>
      <c r="J25" s="24"/>
      <c r="K25" s="24"/>
      <c r="L25" s="24"/>
      <c r="M25" s="24"/>
      <c r="N25" s="24"/>
      <c r="O25" s="24"/>
      <c r="P25" s="24"/>
      <c r="Q25" s="24"/>
      <c r="R25" s="29"/>
      <c r="S25" s="186"/>
      <c r="T25" s="187"/>
      <c r="U25" s="18"/>
      <c r="V25" s="152"/>
      <c r="W25" s="110"/>
      <c r="X25" s="110"/>
      <c r="Y25" s="126"/>
      <c r="Z25" s="110"/>
      <c r="AA25" s="109"/>
      <c r="AB25" s="109"/>
      <c r="AC25" s="109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116"/>
    </row>
    <row r="26" spans="1:45" s="22" customFormat="1" x14ac:dyDescent="0.2">
      <c r="A26" s="145" t="s">
        <v>71</v>
      </c>
      <c r="B26" s="145" t="s">
        <v>43</v>
      </c>
      <c r="C26" s="145" t="s">
        <v>456</v>
      </c>
      <c r="D26" s="101">
        <v>10</v>
      </c>
      <c r="E26" s="184">
        <v>0.1</v>
      </c>
      <c r="F26" s="88">
        <v>42185</v>
      </c>
      <c r="G26" s="24">
        <v>120</v>
      </c>
      <c r="H26" s="201">
        <f>100/G26</f>
        <v>0.83333333333333337</v>
      </c>
      <c r="I26" s="233">
        <f t="shared" ref="I26" si="14">H26*J26</f>
        <v>25.833333333333336</v>
      </c>
      <c r="J26" s="90">
        <f>(YEAR(F26)-YEAR(S26))*12+MONTH(F26)-MONTH(S26)</f>
        <v>31</v>
      </c>
      <c r="K26" s="233">
        <f>L26*H26</f>
        <v>74.166666666666671</v>
      </c>
      <c r="L26" s="90">
        <f>G26-J26</f>
        <v>89</v>
      </c>
      <c r="M26" s="233">
        <f>N26*H26</f>
        <v>5.8333333333333339</v>
      </c>
      <c r="N26" s="90">
        <v>7</v>
      </c>
      <c r="O26" s="233">
        <f>K26-M26</f>
        <v>68.333333333333343</v>
      </c>
      <c r="P26" s="90">
        <f>L26-N26</f>
        <v>82</v>
      </c>
      <c r="Q26" s="90">
        <f>M26-O26</f>
        <v>-62.500000000000007</v>
      </c>
      <c r="R26" s="24">
        <v>464</v>
      </c>
      <c r="S26" s="171">
        <v>41236</v>
      </c>
      <c r="T26" s="188">
        <v>2146</v>
      </c>
      <c r="U26" s="18">
        <v>1609.54</v>
      </c>
      <c r="V26" s="152">
        <v>89.4</v>
      </c>
      <c r="W26" s="110"/>
      <c r="X26" s="100">
        <v>115.958</v>
      </c>
      <c r="Y26" s="125">
        <v>107</v>
      </c>
      <c r="Z26" s="100">
        <f>X26/Y26</f>
        <v>1.0837196261682243</v>
      </c>
      <c r="AA26" s="98">
        <f>U26*M26/100/K26*100/7</f>
        <v>18.084719101123593</v>
      </c>
      <c r="AB26" s="98">
        <f>AA26*Z26</f>
        <v>19.598765023627006</v>
      </c>
      <c r="AC26" s="98"/>
      <c r="AD26" s="98"/>
      <c r="AE26" s="98"/>
      <c r="AF26" s="98"/>
      <c r="AG26" s="98"/>
      <c r="AH26" s="98">
        <f>AB26</f>
        <v>19.598765023627006</v>
      </c>
      <c r="AI26" s="98">
        <v>19.598765023627006</v>
      </c>
      <c r="AJ26" s="98">
        <v>19.598765023627006</v>
      </c>
      <c r="AK26" s="98">
        <v>19.598765023627006</v>
      </c>
      <c r="AL26" s="98">
        <v>19.598765023627006</v>
      </c>
      <c r="AM26" s="98">
        <v>19.598765023627006</v>
      </c>
      <c r="AN26" s="98">
        <v>19.598765023627006</v>
      </c>
      <c r="AO26" s="98">
        <f>SUM(AC26:AN26)</f>
        <v>137.19135516538904</v>
      </c>
      <c r="AP26" s="116">
        <f>U26-AO26</f>
        <v>1472.3486448346109</v>
      </c>
    </row>
    <row r="27" spans="1:45" s="22" customFormat="1" x14ac:dyDescent="0.2">
      <c r="A27" s="172" t="s">
        <v>74</v>
      </c>
      <c r="B27" s="172"/>
      <c r="C27" s="172"/>
      <c r="D27" s="185"/>
      <c r="E27" s="184"/>
      <c r="F27" s="88"/>
      <c r="G27" s="90"/>
      <c r="H27" s="201"/>
      <c r="I27" s="90"/>
      <c r="J27" s="90"/>
      <c r="K27" s="90"/>
      <c r="L27" s="90"/>
      <c r="M27" s="90"/>
      <c r="N27" s="90"/>
      <c r="O27" s="90"/>
      <c r="P27" s="90"/>
      <c r="Q27" s="90"/>
      <c r="R27" s="88"/>
      <c r="S27" s="171"/>
      <c r="T27" s="188"/>
      <c r="U27" s="89"/>
      <c r="V27" s="152"/>
      <c r="W27" s="233">
        <v>0</v>
      </c>
      <c r="X27" s="100"/>
      <c r="Y27" s="128"/>
      <c r="Z27" s="100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16"/>
    </row>
    <row r="28" spans="1:45" s="22" customFormat="1" x14ac:dyDescent="0.2">
      <c r="A28" s="172" t="s">
        <v>81</v>
      </c>
      <c r="B28" s="145"/>
      <c r="C28" s="145"/>
      <c r="D28" s="12"/>
      <c r="E28" s="184"/>
      <c r="F28" s="24"/>
      <c r="G28" s="24"/>
      <c r="H28" s="256"/>
      <c r="I28" s="24"/>
      <c r="J28" s="24"/>
      <c r="K28" s="24"/>
      <c r="L28" s="24"/>
      <c r="M28" s="24"/>
      <c r="N28" s="24"/>
      <c r="O28" s="24"/>
      <c r="P28" s="24"/>
      <c r="Q28" s="24"/>
      <c r="R28" s="29"/>
      <c r="S28" s="171"/>
      <c r="T28" s="188"/>
      <c r="U28" s="18"/>
      <c r="V28" s="152"/>
      <c r="W28" s="110"/>
      <c r="X28" s="110"/>
      <c r="Y28" s="128"/>
      <c r="Z28" s="110"/>
      <c r="AA28" s="109"/>
      <c r="AB28" s="109"/>
      <c r="AC28" s="109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16"/>
    </row>
    <row r="29" spans="1:45" s="22" customFormat="1" x14ac:dyDescent="0.2">
      <c r="A29" s="145" t="s">
        <v>107</v>
      </c>
      <c r="B29" s="145" t="s">
        <v>618</v>
      </c>
      <c r="C29" s="145" t="s">
        <v>619</v>
      </c>
      <c r="D29" s="101">
        <v>10</v>
      </c>
      <c r="E29" s="184">
        <v>0.1</v>
      </c>
      <c r="F29" s="88">
        <v>42185</v>
      </c>
      <c r="G29" s="24">
        <v>120</v>
      </c>
      <c r="H29" s="201">
        <f>100/G29</f>
        <v>0.83333333333333337</v>
      </c>
      <c r="I29" s="233">
        <f t="shared" ref="I29:I31" si="15">H29*J29</f>
        <v>71.666666666666671</v>
      </c>
      <c r="J29" s="90">
        <f>(YEAR(F29)-YEAR(S29))*12+MONTH(F29)-MONTH(S29)</f>
        <v>86</v>
      </c>
      <c r="K29" s="233">
        <f>L29*H29</f>
        <v>28.333333333333336</v>
      </c>
      <c r="L29" s="90">
        <f>G29-J29</f>
        <v>34</v>
      </c>
      <c r="M29" s="233">
        <f>N29*H29</f>
        <v>5.8333333333333339</v>
      </c>
      <c r="N29" s="90">
        <v>7</v>
      </c>
      <c r="O29" s="233">
        <f t="shared" ref="O29:Q31" si="16">K29-M29</f>
        <v>22.5</v>
      </c>
      <c r="P29" s="90">
        <f t="shared" si="16"/>
        <v>27</v>
      </c>
      <c r="Q29" s="90">
        <f t="shared" si="16"/>
        <v>-16.666666666666664</v>
      </c>
      <c r="R29" s="24">
        <v>259</v>
      </c>
      <c r="S29" s="171">
        <v>39561</v>
      </c>
      <c r="T29" s="188">
        <v>4370</v>
      </c>
      <c r="U29" s="18">
        <v>1274.55</v>
      </c>
      <c r="V29" s="152">
        <v>182.1</v>
      </c>
      <c r="W29" s="110"/>
      <c r="X29" s="100">
        <v>115.958</v>
      </c>
      <c r="Y29" s="125">
        <v>127.72799999999999</v>
      </c>
      <c r="Z29" s="100">
        <f>X29/Y29</f>
        <v>0.90785105849931103</v>
      </c>
      <c r="AA29" s="98">
        <f>U29*M29/100/K29*100/7</f>
        <v>37.486764705882358</v>
      </c>
      <c r="AB29" s="98">
        <f>AA29*Z29</f>
        <v>34.032399017949913</v>
      </c>
      <c r="AC29" s="98"/>
      <c r="AD29" s="98"/>
      <c r="AE29" s="98"/>
      <c r="AF29" s="98"/>
      <c r="AG29" s="98"/>
      <c r="AH29" s="98">
        <f>AB29</f>
        <v>34.032399017949913</v>
      </c>
      <c r="AI29" s="98">
        <v>34.032399017949913</v>
      </c>
      <c r="AJ29" s="98">
        <v>34.032399017949913</v>
      </c>
      <c r="AK29" s="98">
        <v>34.032399017949913</v>
      </c>
      <c r="AL29" s="98">
        <v>34.032399017949913</v>
      </c>
      <c r="AM29" s="98">
        <v>34.032399017949913</v>
      </c>
      <c r="AN29" s="98">
        <v>34.032399017949913</v>
      </c>
      <c r="AO29" s="98">
        <f>SUM(AC29:AN29)</f>
        <v>238.22679312564935</v>
      </c>
      <c r="AP29" s="116">
        <f>U29-AO29</f>
        <v>1036.3232068743505</v>
      </c>
    </row>
    <row r="30" spans="1:45" s="22" customFormat="1" x14ac:dyDescent="0.2">
      <c r="A30" s="145" t="s">
        <v>75</v>
      </c>
      <c r="B30" s="145" t="s">
        <v>620</v>
      </c>
      <c r="C30" s="145" t="s">
        <v>456</v>
      </c>
      <c r="D30" s="101">
        <v>10</v>
      </c>
      <c r="E30" s="184">
        <v>0.1</v>
      </c>
      <c r="F30" s="88">
        <v>42185</v>
      </c>
      <c r="G30" s="90">
        <v>120</v>
      </c>
      <c r="H30" s="201">
        <f>100/G30</f>
        <v>0.83333333333333337</v>
      </c>
      <c r="I30" s="233">
        <f t="shared" si="15"/>
        <v>11.666666666666668</v>
      </c>
      <c r="J30" s="90">
        <f>(YEAR(F30)-YEAR(S30))*12+MONTH(F30)-MONTH(S30)</f>
        <v>14</v>
      </c>
      <c r="K30" s="233">
        <f>L30*H30</f>
        <v>88.333333333333343</v>
      </c>
      <c r="L30" s="90">
        <f>G30-J30</f>
        <v>106</v>
      </c>
      <c r="M30" s="233">
        <f>N30*H30</f>
        <v>5.8333333333333339</v>
      </c>
      <c r="N30" s="90">
        <v>7</v>
      </c>
      <c r="O30" s="233">
        <f t="shared" si="16"/>
        <v>82.500000000000014</v>
      </c>
      <c r="P30" s="90">
        <f t="shared" si="16"/>
        <v>99</v>
      </c>
      <c r="Q30" s="90">
        <f t="shared" si="16"/>
        <v>-76.666666666666686</v>
      </c>
      <c r="R30" s="88" t="s">
        <v>647</v>
      </c>
      <c r="S30" s="171">
        <v>41751</v>
      </c>
      <c r="T30" s="188">
        <v>4116.63</v>
      </c>
      <c r="U30" s="89">
        <v>3636.3</v>
      </c>
      <c r="V30" s="152">
        <v>171.55</v>
      </c>
      <c r="W30" s="233">
        <v>0</v>
      </c>
      <c r="X30" s="100">
        <v>115.958</v>
      </c>
      <c r="Y30" s="125">
        <v>112.88800000000001</v>
      </c>
      <c r="Z30" s="100">
        <f>X30/Y30</f>
        <v>1.0271950960243781</v>
      </c>
      <c r="AA30" s="98">
        <f>U30*M30/100/K30*100/7</f>
        <v>34.304716981132074</v>
      </c>
      <c r="AB30" s="98">
        <f>AA30*Z30</f>
        <v>35.237637053523073</v>
      </c>
      <c r="AC30" s="98"/>
      <c r="AD30" s="98"/>
      <c r="AE30" s="98"/>
      <c r="AF30" s="98"/>
      <c r="AG30" s="98"/>
      <c r="AH30" s="98">
        <f>AB30</f>
        <v>35.237637053523073</v>
      </c>
      <c r="AI30" s="98">
        <v>35.237637053523073</v>
      </c>
      <c r="AJ30" s="98">
        <v>35.237637053523073</v>
      </c>
      <c r="AK30" s="98">
        <v>35.237637053523073</v>
      </c>
      <c r="AL30" s="98">
        <v>35.237637053523073</v>
      </c>
      <c r="AM30" s="98">
        <v>35.237637053523073</v>
      </c>
      <c r="AN30" s="98">
        <v>35.237637053523073</v>
      </c>
      <c r="AO30" s="98">
        <f>SUM(AC30:AN30)</f>
        <v>246.66345937466156</v>
      </c>
      <c r="AP30" s="116">
        <f>U30-AO30</f>
        <v>3389.6365406253385</v>
      </c>
    </row>
    <row r="31" spans="1:45" s="22" customFormat="1" x14ac:dyDescent="0.2">
      <c r="A31" s="145" t="s">
        <v>466</v>
      </c>
      <c r="B31" s="145" t="s">
        <v>621</v>
      </c>
      <c r="C31" s="145" t="s">
        <v>457</v>
      </c>
      <c r="D31" s="101">
        <v>10</v>
      </c>
      <c r="E31" s="184">
        <v>0.1</v>
      </c>
      <c r="F31" s="88">
        <v>42185</v>
      </c>
      <c r="G31" s="24">
        <v>120</v>
      </c>
      <c r="H31" s="201">
        <f>100/G31</f>
        <v>0.83333333333333337</v>
      </c>
      <c r="I31" s="233">
        <f t="shared" si="15"/>
        <v>11.666666666666668</v>
      </c>
      <c r="J31" s="90">
        <f>(YEAR(F31)-YEAR(S31))*12+MONTH(F31)-MONTH(S31)</f>
        <v>14</v>
      </c>
      <c r="K31" s="233">
        <f>L31*H31</f>
        <v>88.333333333333343</v>
      </c>
      <c r="L31" s="90">
        <f>G31-J31</f>
        <v>106</v>
      </c>
      <c r="M31" s="233">
        <f>N31*H31</f>
        <v>5.8333333333333339</v>
      </c>
      <c r="N31" s="90">
        <v>7</v>
      </c>
      <c r="O31" s="233">
        <f t="shared" si="16"/>
        <v>82.500000000000014</v>
      </c>
      <c r="P31" s="90">
        <f t="shared" si="16"/>
        <v>99</v>
      </c>
      <c r="Q31" s="90">
        <f t="shared" si="16"/>
        <v>-76.666666666666686</v>
      </c>
      <c r="R31" s="171" t="s">
        <v>648</v>
      </c>
      <c r="S31" s="171">
        <v>41751</v>
      </c>
      <c r="T31" s="188">
        <v>926</v>
      </c>
      <c r="U31" s="18">
        <v>817.93</v>
      </c>
      <c r="V31" s="152">
        <v>38.6</v>
      </c>
      <c r="W31" s="110"/>
      <c r="X31" s="100">
        <v>115.958</v>
      </c>
      <c r="Y31" s="125">
        <v>112.88800000000001</v>
      </c>
      <c r="Z31" s="100">
        <f>X31/Y31</f>
        <v>1.0271950960243781</v>
      </c>
      <c r="AA31" s="98">
        <f>U31*M31/100/K31*100/7</f>
        <v>7.716320754716981</v>
      </c>
      <c r="AB31" s="98">
        <f>AA31*Z31</f>
        <v>7.9261668385964112</v>
      </c>
      <c r="AC31" s="98"/>
      <c r="AD31" s="98"/>
      <c r="AE31" s="98"/>
      <c r="AF31" s="98"/>
      <c r="AG31" s="98"/>
      <c r="AH31" s="98">
        <f>AB31</f>
        <v>7.9261668385964112</v>
      </c>
      <c r="AI31" s="98">
        <v>7.9261668385964112</v>
      </c>
      <c r="AJ31" s="98">
        <v>7.9261668385964112</v>
      </c>
      <c r="AK31" s="98">
        <v>7.9261668385964112</v>
      </c>
      <c r="AL31" s="98">
        <v>7.9261668385964112</v>
      </c>
      <c r="AM31" s="98">
        <v>7.9261668385964112</v>
      </c>
      <c r="AN31" s="98">
        <v>7.9261668385964112</v>
      </c>
      <c r="AO31" s="98">
        <f>SUM(AC31:AN31)</f>
        <v>55.483167870174874</v>
      </c>
      <c r="AP31" s="116">
        <f>U31-AO31</f>
        <v>762.44683212982511</v>
      </c>
    </row>
    <row r="32" spans="1:45" s="22" customFormat="1" x14ac:dyDescent="0.2">
      <c r="A32" s="172" t="s">
        <v>68</v>
      </c>
      <c r="B32" s="172"/>
      <c r="C32" s="172"/>
      <c r="D32" s="185"/>
      <c r="E32" s="184"/>
      <c r="F32" s="24"/>
      <c r="G32" s="24"/>
      <c r="H32" s="256"/>
      <c r="I32" s="24"/>
      <c r="J32" s="24"/>
      <c r="K32" s="24"/>
      <c r="L32" s="24"/>
      <c r="M32" s="24"/>
      <c r="N32" s="24"/>
      <c r="O32" s="24"/>
      <c r="P32" s="24"/>
      <c r="Q32" s="24"/>
      <c r="R32" s="29"/>
      <c r="S32" s="171"/>
      <c r="T32" s="188"/>
      <c r="U32" s="18"/>
      <c r="V32" s="152"/>
      <c r="W32" s="110"/>
      <c r="X32" s="110"/>
      <c r="Y32" s="128"/>
      <c r="Z32" s="110"/>
      <c r="AA32" s="109"/>
      <c r="AB32" s="109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116"/>
    </row>
    <row r="33" spans="1:45" s="22" customFormat="1" x14ac:dyDescent="0.2">
      <c r="A33" s="172" t="s">
        <v>87</v>
      </c>
      <c r="B33" s="145"/>
      <c r="C33" s="145"/>
      <c r="D33" s="12"/>
      <c r="E33" s="184"/>
      <c r="F33" s="88"/>
      <c r="G33" s="90"/>
      <c r="H33" s="201"/>
      <c r="I33" s="90"/>
      <c r="J33" s="90"/>
      <c r="K33" s="90"/>
      <c r="L33" s="90"/>
      <c r="M33" s="90"/>
      <c r="N33" s="90"/>
      <c r="O33" s="90"/>
      <c r="P33" s="90"/>
      <c r="Q33" s="90"/>
      <c r="R33" s="88"/>
      <c r="S33" s="171"/>
      <c r="T33" s="188"/>
      <c r="U33" s="89"/>
      <c r="V33" s="152"/>
      <c r="W33" s="233">
        <v>0</v>
      </c>
      <c r="X33" s="100"/>
      <c r="Y33" s="128"/>
      <c r="Z33" s="100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116"/>
    </row>
    <row r="34" spans="1:45" s="22" customFormat="1" x14ac:dyDescent="0.2">
      <c r="A34" s="145" t="s">
        <v>78</v>
      </c>
      <c r="B34" s="145" t="s">
        <v>622</v>
      </c>
      <c r="C34" s="145" t="s">
        <v>456</v>
      </c>
      <c r="D34" s="101">
        <v>10</v>
      </c>
      <c r="E34" s="184">
        <v>0.1</v>
      </c>
      <c r="F34" s="88">
        <v>42185</v>
      </c>
      <c r="G34" s="24">
        <v>120</v>
      </c>
      <c r="H34" s="201">
        <f t="shared" ref="H34:H41" si="17">100/G34</f>
        <v>0.83333333333333337</v>
      </c>
      <c r="I34" s="233">
        <f t="shared" ref="I34:I41" si="18">H34*J34</f>
        <v>54.166666666666671</v>
      </c>
      <c r="J34" s="90">
        <f t="shared" ref="J34:J41" si="19">(YEAR(F34)-YEAR(S34))*12+MONTH(F34)-MONTH(S34)</f>
        <v>65</v>
      </c>
      <c r="K34" s="233">
        <f t="shared" ref="K34:K41" si="20">L34*H34</f>
        <v>45.833333333333336</v>
      </c>
      <c r="L34" s="90">
        <f t="shared" ref="L34:L41" si="21">G34-J34</f>
        <v>55</v>
      </c>
      <c r="M34" s="233">
        <f t="shared" ref="M34:M41" si="22">N34*H34</f>
        <v>5.8333333333333339</v>
      </c>
      <c r="N34" s="90">
        <v>7</v>
      </c>
      <c r="O34" s="233">
        <f t="shared" ref="O34:O41" si="23">K34-M34</f>
        <v>40</v>
      </c>
      <c r="P34" s="90">
        <f t="shared" ref="P34:Q41" si="24">L34-N34</f>
        <v>48</v>
      </c>
      <c r="Q34" s="90">
        <f t="shared" si="24"/>
        <v>-34.166666666666664</v>
      </c>
      <c r="R34" s="24">
        <v>6728</v>
      </c>
      <c r="S34" s="171">
        <v>40179</v>
      </c>
      <c r="T34" s="188">
        <v>1499</v>
      </c>
      <c r="U34" s="18">
        <v>687.06</v>
      </c>
      <c r="V34" s="152">
        <v>62.45</v>
      </c>
      <c r="W34" s="110"/>
      <c r="X34" s="100">
        <v>115.958</v>
      </c>
      <c r="Y34" s="125">
        <v>140.047</v>
      </c>
      <c r="Z34" s="100">
        <f t="shared" ref="Z34:Z41" si="25">X34/Y34</f>
        <v>0.82799345933865065</v>
      </c>
      <c r="AA34" s="98">
        <f t="shared" ref="AA34:AA41" si="26">U34*M34/100/K34*100/7</f>
        <v>12.491999999999999</v>
      </c>
      <c r="AB34" s="98">
        <f t="shared" ref="AB34:AB41" si="27">AA34*Z34</f>
        <v>10.343294294058424</v>
      </c>
      <c r="AC34" s="98"/>
      <c r="AD34" s="98"/>
      <c r="AE34" s="98"/>
      <c r="AF34" s="98"/>
      <c r="AG34" s="98"/>
      <c r="AH34" s="98">
        <f t="shared" ref="AH34:AH41" si="28">AB34</f>
        <v>10.343294294058424</v>
      </c>
      <c r="AI34" s="98">
        <v>10.343294294058424</v>
      </c>
      <c r="AJ34" s="98">
        <v>10.343294294058424</v>
      </c>
      <c r="AK34" s="98">
        <v>10.343294294058424</v>
      </c>
      <c r="AL34" s="98">
        <v>10.343294294058424</v>
      </c>
      <c r="AM34" s="98">
        <v>10.343294294058424</v>
      </c>
      <c r="AN34" s="98">
        <v>10.343294294058424</v>
      </c>
      <c r="AO34" s="98">
        <f>SUM(AC34:AN34)</f>
        <v>72.403060058408968</v>
      </c>
      <c r="AP34" s="116">
        <f t="shared" ref="AP34:AP41" si="29">U34-AO34</f>
        <v>614.65693994159096</v>
      </c>
    </row>
    <row r="35" spans="1:45" s="449" customFormat="1" x14ac:dyDescent="0.2">
      <c r="A35" s="434" t="s">
        <v>78</v>
      </c>
      <c r="B35" s="434" t="s">
        <v>865</v>
      </c>
      <c r="C35" s="450" t="s">
        <v>456</v>
      </c>
      <c r="D35" s="435">
        <v>10</v>
      </c>
      <c r="E35" s="451">
        <v>0.1</v>
      </c>
      <c r="F35" s="437">
        <v>42344</v>
      </c>
      <c r="G35" s="438">
        <v>120</v>
      </c>
      <c r="H35" s="439">
        <f>100/G35</f>
        <v>0.83333333333333337</v>
      </c>
      <c r="I35" s="440">
        <f>H35*J35</f>
        <v>0</v>
      </c>
      <c r="J35" s="438">
        <f>(YEAR(F35)-YEAR(S35))*12+MONTH(F35)-MONTH(S35)</f>
        <v>0</v>
      </c>
      <c r="K35" s="440">
        <f>L35*H35</f>
        <v>100</v>
      </c>
      <c r="L35" s="438">
        <f>G35-J35</f>
        <v>120</v>
      </c>
      <c r="M35" s="440">
        <f>N35*H35</f>
        <v>0</v>
      </c>
      <c r="N35" s="438">
        <v>0</v>
      </c>
      <c r="O35" s="440">
        <f>P35*H35</f>
        <v>100</v>
      </c>
      <c r="P35" s="438">
        <f t="shared" si="24"/>
        <v>120</v>
      </c>
      <c r="Q35" s="438">
        <f>M35-O35</f>
        <v>-100</v>
      </c>
      <c r="R35" s="438">
        <v>4658</v>
      </c>
      <c r="S35" s="437">
        <v>42344</v>
      </c>
      <c r="T35" s="443">
        <v>734</v>
      </c>
      <c r="U35" s="445">
        <v>0</v>
      </c>
      <c r="V35" s="447">
        <v>0</v>
      </c>
      <c r="W35" s="447">
        <v>118.051</v>
      </c>
      <c r="X35" s="445">
        <v>115.958</v>
      </c>
      <c r="Y35" s="457">
        <v>118.532</v>
      </c>
      <c r="Z35" s="445">
        <f>X35/Y35</f>
        <v>0.97828434515573859</v>
      </c>
      <c r="AA35" s="447">
        <f>H35*T35/100</f>
        <v>6.1166666666666671</v>
      </c>
      <c r="AB35" s="447">
        <f>AA35*Z35</f>
        <v>5.9838392445359352</v>
      </c>
      <c r="AC35" s="447"/>
      <c r="AD35" s="447"/>
      <c r="AE35" s="447"/>
      <c r="AF35" s="447"/>
      <c r="AG35" s="447"/>
      <c r="AH35" s="447"/>
      <c r="AI35" s="447"/>
      <c r="AJ35" s="447"/>
      <c r="AK35" s="448"/>
      <c r="AL35" s="448"/>
      <c r="AM35" s="448"/>
      <c r="AN35" s="448">
        <v>0</v>
      </c>
      <c r="AO35" s="448">
        <v>0</v>
      </c>
      <c r="AP35" s="448">
        <f>T35</f>
        <v>734</v>
      </c>
      <c r="AQ35" s="22"/>
      <c r="AR35" s="22"/>
      <c r="AS35" s="22"/>
    </row>
    <row r="36" spans="1:45" s="449" customFormat="1" x14ac:dyDescent="0.2">
      <c r="A36" s="434" t="s">
        <v>78</v>
      </c>
      <c r="B36" s="434" t="s">
        <v>865</v>
      </c>
      <c r="C36" s="450" t="s">
        <v>457</v>
      </c>
      <c r="D36" s="435">
        <v>10</v>
      </c>
      <c r="E36" s="451">
        <v>0.1</v>
      </c>
      <c r="F36" s="437">
        <v>42344</v>
      </c>
      <c r="G36" s="438">
        <v>120</v>
      </c>
      <c r="H36" s="439">
        <f>100/G36</f>
        <v>0.83333333333333337</v>
      </c>
      <c r="I36" s="440">
        <f>H36*J36</f>
        <v>0</v>
      </c>
      <c r="J36" s="438">
        <f>(YEAR(F36)-YEAR(S36))*12+MONTH(F36)-MONTH(S36)</f>
        <v>0</v>
      </c>
      <c r="K36" s="440">
        <f>L36*H36</f>
        <v>100</v>
      </c>
      <c r="L36" s="438">
        <f>G36-J36</f>
        <v>120</v>
      </c>
      <c r="M36" s="440">
        <f>N36*H36</f>
        <v>0</v>
      </c>
      <c r="N36" s="438">
        <v>0</v>
      </c>
      <c r="O36" s="440">
        <f>P36*H36</f>
        <v>100</v>
      </c>
      <c r="P36" s="438">
        <f t="shared" ref="P36" si="30">L36-N36</f>
        <v>120</v>
      </c>
      <c r="Q36" s="438">
        <f>M36-O36</f>
        <v>-100</v>
      </c>
      <c r="R36" s="438">
        <v>4658</v>
      </c>
      <c r="S36" s="437">
        <v>42344</v>
      </c>
      <c r="T36" s="443">
        <v>734</v>
      </c>
      <c r="U36" s="445">
        <v>0</v>
      </c>
      <c r="V36" s="447">
        <v>0</v>
      </c>
      <c r="W36" s="447">
        <v>118.051</v>
      </c>
      <c r="X36" s="445">
        <v>115.958</v>
      </c>
      <c r="Y36" s="457">
        <v>118.532</v>
      </c>
      <c r="Z36" s="445">
        <f>X36/Y36</f>
        <v>0.97828434515573859</v>
      </c>
      <c r="AA36" s="447">
        <f>H36*T36/100</f>
        <v>6.1166666666666671</v>
      </c>
      <c r="AB36" s="447">
        <f>AA36*Z36</f>
        <v>5.9838392445359352</v>
      </c>
      <c r="AC36" s="447"/>
      <c r="AD36" s="447"/>
      <c r="AE36" s="447"/>
      <c r="AF36" s="447"/>
      <c r="AG36" s="447"/>
      <c r="AH36" s="447"/>
      <c r="AI36" s="447"/>
      <c r="AJ36" s="447"/>
      <c r="AK36" s="448"/>
      <c r="AL36" s="448"/>
      <c r="AM36" s="448"/>
      <c r="AN36" s="448">
        <v>0</v>
      </c>
      <c r="AO36" s="448">
        <v>0</v>
      </c>
      <c r="AP36" s="448">
        <f>T36</f>
        <v>734</v>
      </c>
      <c r="AQ36" s="22"/>
      <c r="AR36" s="22"/>
      <c r="AS36" s="22"/>
    </row>
    <row r="37" spans="1:45" s="22" customFormat="1" x14ac:dyDescent="0.2">
      <c r="A37" s="145" t="s">
        <v>78</v>
      </c>
      <c r="B37" s="145" t="s">
        <v>623</v>
      </c>
      <c r="C37" s="145" t="s">
        <v>456</v>
      </c>
      <c r="D37" s="101">
        <v>10</v>
      </c>
      <c r="E37" s="184">
        <v>0.1</v>
      </c>
      <c r="F37" s="88">
        <v>42185</v>
      </c>
      <c r="G37" s="24">
        <v>120</v>
      </c>
      <c r="H37" s="201">
        <f t="shared" si="17"/>
        <v>0.83333333333333337</v>
      </c>
      <c r="I37" s="233">
        <f t="shared" si="18"/>
        <v>24.166666666666668</v>
      </c>
      <c r="J37" s="90">
        <f t="shared" si="19"/>
        <v>29</v>
      </c>
      <c r="K37" s="233">
        <f t="shared" si="20"/>
        <v>75.833333333333343</v>
      </c>
      <c r="L37" s="90">
        <f t="shared" si="21"/>
        <v>91</v>
      </c>
      <c r="M37" s="233">
        <f t="shared" si="22"/>
        <v>5.8333333333333339</v>
      </c>
      <c r="N37" s="90">
        <v>7</v>
      </c>
      <c r="O37" s="233">
        <f t="shared" si="23"/>
        <v>70.000000000000014</v>
      </c>
      <c r="P37" s="90">
        <f t="shared" si="24"/>
        <v>84</v>
      </c>
      <c r="Q37" s="90">
        <f t="shared" si="24"/>
        <v>-64.166666666666686</v>
      </c>
      <c r="R37" s="179" t="s">
        <v>649</v>
      </c>
      <c r="S37" s="171">
        <v>41296</v>
      </c>
      <c r="T37" s="188">
        <v>1677</v>
      </c>
      <c r="U37" s="18">
        <v>1271.67</v>
      </c>
      <c r="V37" s="152">
        <v>69.900000000000006</v>
      </c>
      <c r="W37" s="110"/>
      <c r="X37" s="100">
        <v>115.958</v>
      </c>
      <c r="Y37" s="125">
        <v>107.678</v>
      </c>
      <c r="Z37" s="100">
        <f t="shared" si="25"/>
        <v>1.0768959304593324</v>
      </c>
      <c r="AA37" s="98">
        <f t="shared" si="26"/>
        <v>13.974395604395601</v>
      </c>
      <c r="AB37" s="98">
        <f t="shared" si="27"/>
        <v>15.048969757002405</v>
      </c>
      <c r="AC37" s="98"/>
      <c r="AD37" s="98"/>
      <c r="AE37" s="98"/>
      <c r="AF37" s="98"/>
      <c r="AG37" s="98"/>
      <c r="AH37" s="98">
        <f t="shared" si="28"/>
        <v>15.048969757002405</v>
      </c>
      <c r="AI37" s="98">
        <v>15.048969757002405</v>
      </c>
      <c r="AJ37" s="98">
        <v>15.048969757002405</v>
      </c>
      <c r="AK37" s="98">
        <v>15.048969757002405</v>
      </c>
      <c r="AL37" s="98">
        <v>15.048969757002405</v>
      </c>
      <c r="AM37" s="98">
        <v>15.048969757002405</v>
      </c>
      <c r="AN37" s="98">
        <v>15.048969757002405</v>
      </c>
      <c r="AO37" s="98">
        <f>SUM(AC37:AN37)</f>
        <v>105.34278829901685</v>
      </c>
      <c r="AP37" s="116">
        <f t="shared" si="29"/>
        <v>1166.3272117009833</v>
      </c>
    </row>
    <row r="38" spans="1:45" s="22" customFormat="1" x14ac:dyDescent="0.2">
      <c r="A38" s="145" t="s">
        <v>78</v>
      </c>
      <c r="B38" s="145" t="s">
        <v>624</v>
      </c>
      <c r="C38" s="145" t="s">
        <v>456</v>
      </c>
      <c r="D38" s="101">
        <v>10</v>
      </c>
      <c r="E38" s="184">
        <v>0.1</v>
      </c>
      <c r="F38" s="88">
        <v>42185</v>
      </c>
      <c r="G38" s="90">
        <v>120</v>
      </c>
      <c r="H38" s="201">
        <f t="shared" si="17"/>
        <v>0.83333333333333337</v>
      </c>
      <c r="I38" s="233">
        <f t="shared" si="18"/>
        <v>24.166666666666668</v>
      </c>
      <c r="J38" s="90">
        <f t="shared" si="19"/>
        <v>29</v>
      </c>
      <c r="K38" s="233">
        <f t="shared" si="20"/>
        <v>75.833333333333343</v>
      </c>
      <c r="L38" s="90">
        <f t="shared" si="21"/>
        <v>91</v>
      </c>
      <c r="M38" s="233">
        <f t="shared" si="22"/>
        <v>5.8333333333333339</v>
      </c>
      <c r="N38" s="90">
        <v>7</v>
      </c>
      <c r="O38" s="233">
        <f t="shared" si="23"/>
        <v>70.000000000000014</v>
      </c>
      <c r="P38" s="90">
        <f t="shared" si="24"/>
        <v>84</v>
      </c>
      <c r="Q38" s="90">
        <f t="shared" si="24"/>
        <v>-64.166666666666686</v>
      </c>
      <c r="R38" s="90" t="s">
        <v>650</v>
      </c>
      <c r="S38" s="171">
        <v>41283</v>
      </c>
      <c r="T38" s="188">
        <v>899</v>
      </c>
      <c r="U38" s="89">
        <v>771.66</v>
      </c>
      <c r="V38" s="152">
        <v>37.450000000000003</v>
      </c>
      <c r="W38" s="233">
        <v>0</v>
      </c>
      <c r="X38" s="100">
        <v>115.958</v>
      </c>
      <c r="Y38" s="125">
        <v>112.505</v>
      </c>
      <c r="Z38" s="100">
        <f t="shared" si="25"/>
        <v>1.0306919692458114</v>
      </c>
      <c r="AA38" s="98">
        <f t="shared" si="26"/>
        <v>8.4797802197802188</v>
      </c>
      <c r="AB38" s="98">
        <f t="shared" si="27"/>
        <v>8.740041373496954</v>
      </c>
      <c r="AC38" s="98"/>
      <c r="AD38" s="98"/>
      <c r="AE38" s="98"/>
      <c r="AF38" s="98"/>
      <c r="AG38" s="98"/>
      <c r="AH38" s="98">
        <f t="shared" si="28"/>
        <v>8.740041373496954</v>
      </c>
      <c r="AI38" s="98">
        <v>8.740041373496954</v>
      </c>
      <c r="AJ38" s="98">
        <v>8.740041373496954</v>
      </c>
      <c r="AK38" s="98">
        <v>8.740041373496954</v>
      </c>
      <c r="AL38" s="98">
        <v>8.740041373496954</v>
      </c>
      <c r="AM38" s="98">
        <v>8.740041373496954</v>
      </c>
      <c r="AN38" s="98">
        <v>8.740041373496954</v>
      </c>
      <c r="AO38" s="98">
        <f t="shared" ref="AO38:AO41" si="31">SUM(AC38:AN38)</f>
        <v>61.180289614478667</v>
      </c>
      <c r="AP38" s="116">
        <f t="shared" si="29"/>
        <v>710.47971038552134</v>
      </c>
    </row>
    <row r="39" spans="1:45" s="22" customFormat="1" x14ac:dyDescent="0.2">
      <c r="A39" s="145" t="s">
        <v>104</v>
      </c>
      <c r="B39" s="145" t="s">
        <v>625</v>
      </c>
      <c r="C39" s="145" t="s">
        <v>456</v>
      </c>
      <c r="D39" s="101">
        <v>10</v>
      </c>
      <c r="E39" s="184">
        <v>0.1</v>
      </c>
      <c r="F39" s="88">
        <v>42185</v>
      </c>
      <c r="G39" s="90">
        <v>120</v>
      </c>
      <c r="H39" s="201">
        <f t="shared" si="17"/>
        <v>0.83333333333333337</v>
      </c>
      <c r="I39" s="233">
        <f t="shared" si="18"/>
        <v>9.1666666666666679</v>
      </c>
      <c r="J39" s="90">
        <f t="shared" si="19"/>
        <v>11</v>
      </c>
      <c r="K39" s="233">
        <f t="shared" si="20"/>
        <v>90.833333333333343</v>
      </c>
      <c r="L39" s="90">
        <f t="shared" si="21"/>
        <v>109</v>
      </c>
      <c r="M39" s="233">
        <f t="shared" si="22"/>
        <v>5.8333333333333339</v>
      </c>
      <c r="N39" s="90">
        <v>7</v>
      </c>
      <c r="O39" s="233">
        <f t="shared" si="23"/>
        <v>85.000000000000014</v>
      </c>
      <c r="P39" s="90">
        <f t="shared" si="24"/>
        <v>102</v>
      </c>
      <c r="Q39" s="90">
        <f t="shared" si="24"/>
        <v>-79.166666666666686</v>
      </c>
      <c r="R39" s="179" t="s">
        <v>651</v>
      </c>
      <c r="S39" s="171">
        <v>41830</v>
      </c>
      <c r="T39" s="188">
        <v>969</v>
      </c>
      <c r="U39" s="18">
        <v>880.12</v>
      </c>
      <c r="V39" s="152">
        <v>40.4</v>
      </c>
      <c r="W39" s="110"/>
      <c r="X39" s="100">
        <v>115.958</v>
      </c>
      <c r="Y39" s="125">
        <v>113.032</v>
      </c>
      <c r="Z39" s="100">
        <f t="shared" si="25"/>
        <v>1.0258864746266545</v>
      </c>
      <c r="AA39" s="98">
        <f t="shared" si="26"/>
        <v>8.0744954128440369</v>
      </c>
      <c r="AB39" s="98">
        <f t="shared" si="27"/>
        <v>8.2835156334716622</v>
      </c>
      <c r="AC39" s="98"/>
      <c r="AD39" s="98"/>
      <c r="AE39" s="98"/>
      <c r="AF39" s="98"/>
      <c r="AG39" s="98"/>
      <c r="AH39" s="98">
        <f t="shared" si="28"/>
        <v>8.2835156334716622</v>
      </c>
      <c r="AI39" s="98">
        <v>8.2835156334716622</v>
      </c>
      <c r="AJ39" s="98">
        <v>8.2835156334716622</v>
      </c>
      <c r="AK39" s="98">
        <v>8.2835156334716622</v>
      </c>
      <c r="AL39" s="98">
        <v>8.2835156334716622</v>
      </c>
      <c r="AM39" s="98">
        <v>8.2835156334716622</v>
      </c>
      <c r="AN39" s="98">
        <v>8.2835156334716622</v>
      </c>
      <c r="AO39" s="98">
        <f t="shared" si="31"/>
        <v>57.984609434301646</v>
      </c>
      <c r="AP39" s="116">
        <f t="shared" si="29"/>
        <v>822.13539056569834</v>
      </c>
    </row>
    <row r="40" spans="1:45" s="22" customFormat="1" x14ac:dyDescent="0.2">
      <c r="A40" s="145" t="s">
        <v>77</v>
      </c>
      <c r="B40" s="145" t="s">
        <v>626</v>
      </c>
      <c r="C40" s="145" t="s">
        <v>619</v>
      </c>
      <c r="D40" s="101">
        <v>10</v>
      </c>
      <c r="E40" s="184">
        <v>0.1</v>
      </c>
      <c r="F40" s="88">
        <v>42185</v>
      </c>
      <c r="G40" s="90">
        <v>120</v>
      </c>
      <c r="H40" s="201">
        <f t="shared" si="17"/>
        <v>0.83333333333333337</v>
      </c>
      <c r="I40" s="233">
        <f t="shared" si="18"/>
        <v>24.166666666666668</v>
      </c>
      <c r="J40" s="90">
        <f t="shared" si="19"/>
        <v>29</v>
      </c>
      <c r="K40" s="233">
        <f t="shared" si="20"/>
        <v>75.833333333333343</v>
      </c>
      <c r="L40" s="90">
        <f t="shared" si="21"/>
        <v>91</v>
      </c>
      <c r="M40" s="233">
        <f t="shared" si="22"/>
        <v>5.8333333333333339</v>
      </c>
      <c r="N40" s="90">
        <v>7</v>
      </c>
      <c r="O40" s="233">
        <f t="shared" si="23"/>
        <v>70.000000000000014</v>
      </c>
      <c r="P40" s="90">
        <f t="shared" si="24"/>
        <v>84</v>
      </c>
      <c r="Q40" s="90">
        <f t="shared" si="24"/>
        <v>-64.166666666666686</v>
      </c>
      <c r="R40" s="179" t="s">
        <v>652</v>
      </c>
      <c r="S40" s="171">
        <v>41277</v>
      </c>
      <c r="T40" s="188">
        <v>1198</v>
      </c>
      <c r="U40" s="18">
        <v>908.52</v>
      </c>
      <c r="V40" s="152">
        <v>49.9</v>
      </c>
      <c r="W40" s="110"/>
      <c r="X40" s="100">
        <v>115.958</v>
      </c>
      <c r="Y40" s="125">
        <v>107.678</v>
      </c>
      <c r="Z40" s="100">
        <f t="shared" si="25"/>
        <v>1.0768959304593324</v>
      </c>
      <c r="AA40" s="98">
        <f t="shared" si="26"/>
        <v>9.9837362637362634</v>
      </c>
      <c r="AB40" s="98">
        <f t="shared" si="27"/>
        <v>10.751444953196842</v>
      </c>
      <c r="AC40" s="98"/>
      <c r="AD40" s="98"/>
      <c r="AE40" s="98"/>
      <c r="AF40" s="98"/>
      <c r="AG40" s="98"/>
      <c r="AH40" s="98">
        <f t="shared" si="28"/>
        <v>10.751444953196842</v>
      </c>
      <c r="AI40" s="98">
        <v>10.751444953196842</v>
      </c>
      <c r="AJ40" s="98">
        <v>10.751444953196842</v>
      </c>
      <c r="AK40" s="98">
        <v>10.751444953196842</v>
      </c>
      <c r="AL40" s="98">
        <v>10.751444953196842</v>
      </c>
      <c r="AM40" s="98">
        <v>10.751444953196842</v>
      </c>
      <c r="AN40" s="98">
        <v>10.751444953196842</v>
      </c>
      <c r="AO40" s="98">
        <f t="shared" si="31"/>
        <v>75.260114672377881</v>
      </c>
      <c r="AP40" s="116">
        <f t="shared" si="29"/>
        <v>833.2598853276221</v>
      </c>
    </row>
    <row r="41" spans="1:45" s="22" customFormat="1" x14ac:dyDescent="0.2">
      <c r="A41" s="145" t="s">
        <v>79</v>
      </c>
      <c r="B41" s="145" t="s">
        <v>627</v>
      </c>
      <c r="C41" s="145" t="s">
        <v>457</v>
      </c>
      <c r="D41" s="101">
        <v>10</v>
      </c>
      <c r="E41" s="184">
        <v>0.1</v>
      </c>
      <c r="F41" s="88">
        <v>42185</v>
      </c>
      <c r="G41" s="90">
        <v>120</v>
      </c>
      <c r="H41" s="201">
        <f t="shared" si="17"/>
        <v>0.83333333333333337</v>
      </c>
      <c r="I41" s="233">
        <f t="shared" si="18"/>
        <v>64.166666666666671</v>
      </c>
      <c r="J41" s="90">
        <f t="shared" si="19"/>
        <v>77</v>
      </c>
      <c r="K41" s="233">
        <f t="shared" si="20"/>
        <v>35.833333333333336</v>
      </c>
      <c r="L41" s="90">
        <f t="shared" si="21"/>
        <v>43</v>
      </c>
      <c r="M41" s="233">
        <f t="shared" si="22"/>
        <v>5.8333333333333339</v>
      </c>
      <c r="N41" s="90">
        <v>7</v>
      </c>
      <c r="O41" s="233">
        <f t="shared" si="23"/>
        <v>30</v>
      </c>
      <c r="P41" s="90">
        <f t="shared" si="24"/>
        <v>36</v>
      </c>
      <c r="Q41" s="90">
        <f t="shared" si="24"/>
        <v>-24.166666666666664</v>
      </c>
      <c r="R41" s="90" t="s">
        <v>653</v>
      </c>
      <c r="S41" s="171">
        <v>39814</v>
      </c>
      <c r="T41" s="188">
        <v>1349</v>
      </c>
      <c r="U41" s="89">
        <v>483.41</v>
      </c>
      <c r="V41" s="152">
        <v>56.2</v>
      </c>
      <c r="W41" s="233">
        <v>0</v>
      </c>
      <c r="X41" s="100">
        <v>115.958</v>
      </c>
      <c r="Y41" s="125">
        <v>134.071</v>
      </c>
      <c r="Z41" s="100">
        <f t="shared" si="25"/>
        <v>0.8648999410759971</v>
      </c>
      <c r="AA41" s="98">
        <f t="shared" si="26"/>
        <v>11.242093023255814</v>
      </c>
      <c r="AB41" s="98">
        <f t="shared" si="27"/>
        <v>9.7232855933848317</v>
      </c>
      <c r="AC41" s="98"/>
      <c r="AD41" s="98"/>
      <c r="AE41" s="98"/>
      <c r="AF41" s="98"/>
      <c r="AG41" s="98"/>
      <c r="AH41" s="98">
        <f t="shared" si="28"/>
        <v>9.7232855933848317</v>
      </c>
      <c r="AI41" s="98">
        <v>9.7232855933848317</v>
      </c>
      <c r="AJ41" s="98">
        <v>9.7232855933848317</v>
      </c>
      <c r="AK41" s="98">
        <v>9.7232855933848317</v>
      </c>
      <c r="AL41" s="98">
        <v>9.7232855933848317</v>
      </c>
      <c r="AM41" s="98">
        <v>9.7232855933848317</v>
      </c>
      <c r="AN41" s="98">
        <v>9.7232855933848317</v>
      </c>
      <c r="AO41" s="98">
        <f t="shared" si="31"/>
        <v>68.062999153693823</v>
      </c>
      <c r="AP41" s="116">
        <f t="shared" si="29"/>
        <v>415.34700084630617</v>
      </c>
    </row>
    <row r="42" spans="1:45" s="22" customFormat="1" x14ac:dyDescent="0.2">
      <c r="A42" s="172" t="s">
        <v>74</v>
      </c>
      <c r="B42" s="172"/>
      <c r="C42" s="172"/>
      <c r="D42" s="185"/>
      <c r="E42" s="184"/>
      <c r="F42" s="88"/>
      <c r="G42" s="90"/>
      <c r="H42" s="201"/>
      <c r="I42" s="90"/>
      <c r="J42" s="90"/>
      <c r="K42" s="90"/>
      <c r="L42" s="90"/>
      <c r="M42" s="90"/>
      <c r="N42" s="90"/>
      <c r="O42" s="90"/>
      <c r="P42" s="90"/>
      <c r="Q42" s="90"/>
      <c r="R42" s="88"/>
      <c r="S42" s="171"/>
      <c r="T42" s="188"/>
      <c r="U42" s="89"/>
      <c r="V42" s="152"/>
      <c r="W42" s="233">
        <v>0</v>
      </c>
      <c r="X42" s="100"/>
      <c r="Y42" s="128"/>
      <c r="Z42" s="100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116"/>
    </row>
    <row r="43" spans="1:45" s="22" customFormat="1" x14ac:dyDescent="0.2">
      <c r="A43" s="172" t="s">
        <v>85</v>
      </c>
      <c r="B43" s="145"/>
      <c r="C43" s="145"/>
      <c r="D43" s="12"/>
      <c r="E43" s="184"/>
      <c r="F43" s="88"/>
      <c r="G43" s="90"/>
      <c r="H43" s="201"/>
      <c r="I43" s="90"/>
      <c r="J43" s="90"/>
      <c r="K43" s="90"/>
      <c r="L43" s="90"/>
      <c r="M43" s="90"/>
      <c r="N43" s="90"/>
      <c r="O43" s="90"/>
      <c r="P43" s="90"/>
      <c r="Q43" s="90"/>
      <c r="R43" s="88"/>
      <c r="S43" s="171"/>
      <c r="T43" s="188"/>
      <c r="U43" s="89"/>
      <c r="V43" s="152"/>
      <c r="W43" s="233">
        <v>0</v>
      </c>
      <c r="X43" s="100"/>
      <c r="Y43" s="128"/>
      <c r="Z43" s="100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116"/>
    </row>
    <row r="44" spans="1:45" s="22" customFormat="1" x14ac:dyDescent="0.2">
      <c r="A44" s="145" t="s">
        <v>100</v>
      </c>
      <c r="B44" s="145" t="s">
        <v>628</v>
      </c>
      <c r="C44" s="145" t="s">
        <v>451</v>
      </c>
      <c r="D44" s="101">
        <v>10</v>
      </c>
      <c r="E44" s="184">
        <v>0.1</v>
      </c>
      <c r="F44" s="88">
        <v>42185</v>
      </c>
      <c r="G44" s="90">
        <v>120</v>
      </c>
      <c r="H44" s="201">
        <f>100/G44</f>
        <v>0.83333333333333337</v>
      </c>
      <c r="I44" s="233">
        <f t="shared" ref="I44:I45" si="32">H44*J44</f>
        <v>32.5</v>
      </c>
      <c r="J44" s="90">
        <f>(YEAR(F44)-YEAR(S44))*12+MONTH(F44)-MONTH(S44)</f>
        <v>39</v>
      </c>
      <c r="K44" s="233">
        <f>L44*H44</f>
        <v>67.5</v>
      </c>
      <c r="L44" s="90">
        <f>G44-J44</f>
        <v>81</v>
      </c>
      <c r="M44" s="233">
        <f>N44*H44</f>
        <v>5.8333333333333339</v>
      </c>
      <c r="N44" s="90">
        <v>7</v>
      </c>
      <c r="O44" s="233">
        <f t="shared" ref="O44:Q45" si="33">K44-M44</f>
        <v>61.666666666666664</v>
      </c>
      <c r="P44" s="90">
        <f t="shared" si="33"/>
        <v>74</v>
      </c>
      <c r="Q44" s="90">
        <f t="shared" si="33"/>
        <v>-55.833333333333329</v>
      </c>
      <c r="R44" s="88" t="s">
        <v>653</v>
      </c>
      <c r="S44" s="171">
        <v>40984</v>
      </c>
      <c r="T44" s="188">
        <v>469</v>
      </c>
      <c r="U44" s="89">
        <v>320.47000000000003</v>
      </c>
      <c r="V44" s="152">
        <v>19.55</v>
      </c>
      <c r="W44" s="233">
        <v>0</v>
      </c>
      <c r="X44" s="100">
        <v>115.958</v>
      </c>
      <c r="Y44" s="125">
        <v>104.556</v>
      </c>
      <c r="Z44" s="100">
        <f>X44/Y44</f>
        <v>1.1090516087072957</v>
      </c>
      <c r="AA44" s="98">
        <f>U44*M44/100/K44*100/7</f>
        <v>3.9564197530864211</v>
      </c>
      <c r="AB44" s="98">
        <f>AA44*Z44</f>
        <v>4.3878736918818166</v>
      </c>
      <c r="AC44" s="98"/>
      <c r="AD44" s="98"/>
      <c r="AE44" s="98"/>
      <c r="AF44" s="98"/>
      <c r="AG44" s="98"/>
      <c r="AH44" s="98">
        <f>AB44</f>
        <v>4.3878736918818166</v>
      </c>
      <c r="AI44" s="98">
        <v>4.3878736918818166</v>
      </c>
      <c r="AJ44" s="98">
        <v>4.3878736918818166</v>
      </c>
      <c r="AK44" s="98">
        <v>4.3878736918818166</v>
      </c>
      <c r="AL44" s="98">
        <v>4.3878736918818166</v>
      </c>
      <c r="AM44" s="98">
        <v>4.3878736918818166</v>
      </c>
      <c r="AN44" s="98">
        <v>4.3878736918818166</v>
      </c>
      <c r="AO44" s="98">
        <f>SUM(AC44:AN44)</f>
        <v>30.715115843172711</v>
      </c>
      <c r="AP44" s="116">
        <f>U44-AO44</f>
        <v>289.7548841568273</v>
      </c>
    </row>
    <row r="45" spans="1:45" s="22" customFormat="1" x14ac:dyDescent="0.2">
      <c r="A45" s="145" t="s">
        <v>96</v>
      </c>
      <c r="B45" s="145" t="s">
        <v>629</v>
      </c>
      <c r="C45" s="145" t="s">
        <v>457</v>
      </c>
      <c r="D45" s="101">
        <v>10</v>
      </c>
      <c r="E45" s="184">
        <v>0.1</v>
      </c>
      <c r="F45" s="88">
        <v>42185</v>
      </c>
      <c r="G45" s="90">
        <v>120</v>
      </c>
      <c r="H45" s="201">
        <f>100/G45</f>
        <v>0.83333333333333337</v>
      </c>
      <c r="I45" s="233">
        <f t="shared" si="32"/>
        <v>54.166666666666671</v>
      </c>
      <c r="J45" s="90">
        <f>(YEAR(F45)-YEAR(S45))*12+MONTH(F45)-MONTH(S45)</f>
        <v>65</v>
      </c>
      <c r="K45" s="233">
        <f>L45*H45</f>
        <v>45.833333333333336</v>
      </c>
      <c r="L45" s="90">
        <f>G45-J45</f>
        <v>55</v>
      </c>
      <c r="M45" s="233">
        <f>N45*H45</f>
        <v>5.8333333333333339</v>
      </c>
      <c r="N45" s="90">
        <v>7</v>
      </c>
      <c r="O45" s="233">
        <f t="shared" si="33"/>
        <v>40</v>
      </c>
      <c r="P45" s="90">
        <f t="shared" si="33"/>
        <v>48</v>
      </c>
      <c r="Q45" s="90">
        <f t="shared" si="33"/>
        <v>-34.166666666666664</v>
      </c>
      <c r="R45" s="88" t="s">
        <v>653</v>
      </c>
      <c r="S45" s="171">
        <v>40179</v>
      </c>
      <c r="T45" s="188">
        <v>750</v>
      </c>
      <c r="U45" s="89">
        <v>343.75</v>
      </c>
      <c r="V45" s="152">
        <v>31.25</v>
      </c>
      <c r="W45" s="233">
        <v>0</v>
      </c>
      <c r="X45" s="100">
        <v>115.958</v>
      </c>
      <c r="Y45" s="125">
        <v>140.047</v>
      </c>
      <c r="Z45" s="100">
        <f>X45/Y45</f>
        <v>0.82799345933865065</v>
      </c>
      <c r="AA45" s="98">
        <f>U45*M45/100/K45*100/7</f>
        <v>6.2500000000000009</v>
      </c>
      <c r="AB45" s="98">
        <f>AA45*Z45</f>
        <v>5.1749591208665677</v>
      </c>
      <c r="AC45" s="98"/>
      <c r="AD45" s="98"/>
      <c r="AE45" s="98"/>
      <c r="AF45" s="98"/>
      <c r="AG45" s="98"/>
      <c r="AH45" s="98">
        <f>AB45</f>
        <v>5.1749591208665677</v>
      </c>
      <c r="AI45" s="98">
        <v>5.1749591208665677</v>
      </c>
      <c r="AJ45" s="98">
        <v>5.1749591208665677</v>
      </c>
      <c r="AK45" s="98">
        <v>5.1749591208665677</v>
      </c>
      <c r="AL45" s="98">
        <v>5.1749591208665677</v>
      </c>
      <c r="AM45" s="98">
        <v>5.1749591208665677</v>
      </c>
      <c r="AN45" s="98">
        <v>5.1749591208665677</v>
      </c>
      <c r="AO45" s="98">
        <f>SUM(AC45:AN45)</f>
        <v>36.224713846065974</v>
      </c>
      <c r="AP45" s="116">
        <f>U45-AO45</f>
        <v>307.52528615393402</v>
      </c>
    </row>
    <row r="46" spans="1:45" s="22" customFormat="1" x14ac:dyDescent="0.2">
      <c r="A46" s="172" t="s">
        <v>68</v>
      </c>
      <c r="B46" s="172" t="s">
        <v>101</v>
      </c>
      <c r="C46" s="172"/>
      <c r="D46" s="185"/>
      <c r="E46" s="184"/>
      <c r="F46" s="24"/>
      <c r="G46" s="24"/>
      <c r="H46" s="256"/>
      <c r="I46" s="24"/>
      <c r="J46" s="24"/>
      <c r="K46" s="24"/>
      <c r="L46" s="24"/>
      <c r="M46" s="24"/>
      <c r="N46" s="24"/>
      <c r="O46" s="24"/>
      <c r="P46" s="24"/>
      <c r="Q46" s="24"/>
      <c r="R46" s="29"/>
      <c r="S46" s="171"/>
      <c r="T46" s="188"/>
      <c r="U46" s="18"/>
      <c r="V46" s="152"/>
      <c r="W46" s="110"/>
      <c r="X46" s="110"/>
      <c r="Y46" s="128"/>
      <c r="Z46" s="110"/>
      <c r="AA46" s="109"/>
      <c r="AB46" s="109"/>
      <c r="AC46" s="109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116"/>
    </row>
    <row r="47" spans="1:45" s="22" customFormat="1" x14ac:dyDescent="0.2">
      <c r="A47" s="172" t="s">
        <v>103</v>
      </c>
      <c r="B47" s="145"/>
      <c r="C47" s="145"/>
      <c r="D47" s="12"/>
      <c r="E47" s="184"/>
      <c r="F47" s="24"/>
      <c r="G47" s="24"/>
      <c r="H47" s="256"/>
      <c r="I47" s="24"/>
      <c r="J47" s="24"/>
      <c r="K47" s="24"/>
      <c r="L47" s="24"/>
      <c r="M47" s="24"/>
      <c r="N47" s="24"/>
      <c r="O47" s="24"/>
      <c r="P47" s="24"/>
      <c r="Q47" s="24"/>
      <c r="R47" s="29"/>
      <c r="S47" s="171"/>
      <c r="T47" s="188"/>
      <c r="U47" s="18"/>
      <c r="V47" s="152"/>
      <c r="W47" s="110"/>
      <c r="X47" s="110"/>
      <c r="Y47" s="128"/>
      <c r="Z47" s="110"/>
      <c r="AA47" s="109"/>
      <c r="AB47" s="109"/>
      <c r="AC47" s="109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116"/>
    </row>
    <row r="48" spans="1:45" s="22" customFormat="1" x14ac:dyDescent="0.2">
      <c r="A48" s="145" t="s">
        <v>108</v>
      </c>
      <c r="B48" s="145" t="s">
        <v>630</v>
      </c>
      <c r="C48" s="145" t="s">
        <v>456</v>
      </c>
      <c r="D48" s="101">
        <v>3</v>
      </c>
      <c r="E48" s="181">
        <v>0.33329999999999999</v>
      </c>
      <c r="F48" s="88">
        <v>42185</v>
      </c>
      <c r="G48" s="90">
        <v>36</v>
      </c>
      <c r="H48" s="201">
        <f>100/G48</f>
        <v>2.7777777777777777</v>
      </c>
      <c r="I48" s="233">
        <f t="shared" ref="I48" si="34">H48*J48</f>
        <v>86.111111111111114</v>
      </c>
      <c r="J48" s="90">
        <f>(YEAR(F48)-YEAR(S48))*12+MONTH(F48)-MONTH(S48)</f>
        <v>31</v>
      </c>
      <c r="K48" s="233">
        <f>L48*H48</f>
        <v>13.888888888888889</v>
      </c>
      <c r="L48" s="90">
        <f>G48-J48</f>
        <v>5</v>
      </c>
      <c r="M48" s="233">
        <f>N48*H48</f>
        <v>13.888888888888889</v>
      </c>
      <c r="N48" s="90">
        <v>5</v>
      </c>
      <c r="O48" s="233">
        <f>K48-M48</f>
        <v>0</v>
      </c>
      <c r="P48" s="90">
        <f>L48-N48</f>
        <v>0</v>
      </c>
      <c r="Q48" s="90">
        <f>M48-O48</f>
        <v>13.888888888888889</v>
      </c>
      <c r="R48" s="88" t="s">
        <v>654</v>
      </c>
      <c r="S48" s="171">
        <v>41222</v>
      </c>
      <c r="T48" s="188">
        <v>1499</v>
      </c>
      <c r="U48" s="89">
        <v>250.01</v>
      </c>
      <c r="V48" s="152">
        <v>208.15</v>
      </c>
      <c r="W48" s="233">
        <v>0</v>
      </c>
      <c r="X48" s="100">
        <v>115.958</v>
      </c>
      <c r="Y48" s="125">
        <v>107</v>
      </c>
      <c r="Z48" s="100">
        <f>X48/Y48</f>
        <v>1.0837196261682243</v>
      </c>
      <c r="AA48" s="98">
        <f>U48*M48/100/K48*100/7</f>
        <v>35.715714285714284</v>
      </c>
      <c r="AB48" s="98">
        <f>AA48*Z48</f>
        <v>38.705820534045394</v>
      </c>
      <c r="AC48" s="98"/>
      <c r="AD48" s="98"/>
      <c r="AE48" s="98"/>
      <c r="AF48" s="98"/>
      <c r="AG48" s="98"/>
      <c r="AH48" s="98">
        <f>AB48</f>
        <v>38.705820534045394</v>
      </c>
      <c r="AI48" s="98">
        <v>38.705820534045394</v>
      </c>
      <c r="AJ48" s="98">
        <v>38.705820534045394</v>
      </c>
      <c r="AK48" s="98">
        <v>38.705820534045394</v>
      </c>
      <c r="AL48" s="98">
        <v>38.705820534045394</v>
      </c>
      <c r="AM48" s="98">
        <v>38.705820534045394</v>
      </c>
      <c r="AN48" s="98">
        <v>16.78</v>
      </c>
      <c r="AO48" s="98">
        <f>SUM(AC48:AN48)</f>
        <v>249.01492320427235</v>
      </c>
      <c r="AP48" s="116">
        <f>U48-AO48</f>
        <v>0.99507679572764118</v>
      </c>
    </row>
    <row r="49" spans="1:45" s="22" customFormat="1" x14ac:dyDescent="0.2">
      <c r="A49" s="172" t="s">
        <v>74</v>
      </c>
      <c r="B49" s="172" t="s">
        <v>90</v>
      </c>
      <c r="C49" s="172"/>
      <c r="D49" s="185"/>
      <c r="E49" s="184"/>
      <c r="F49" s="24"/>
      <c r="G49" s="24"/>
      <c r="H49" s="256"/>
      <c r="I49" s="24"/>
      <c r="J49" s="24"/>
      <c r="K49" s="24"/>
      <c r="L49" s="24"/>
      <c r="M49" s="24"/>
      <c r="N49" s="24"/>
      <c r="O49" s="24"/>
      <c r="P49" s="24"/>
      <c r="Q49" s="24"/>
      <c r="R49" s="29"/>
      <c r="S49" s="171"/>
      <c r="T49" s="188"/>
      <c r="U49" s="18"/>
      <c r="V49" s="152"/>
      <c r="W49" s="110"/>
      <c r="X49" s="110"/>
      <c r="Y49" s="128"/>
      <c r="Z49" s="110"/>
      <c r="AA49" s="109"/>
      <c r="AB49" s="109"/>
      <c r="AC49" s="109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116"/>
    </row>
    <row r="50" spans="1:45" s="22" customFormat="1" x14ac:dyDescent="0.2">
      <c r="A50" s="172" t="s">
        <v>110</v>
      </c>
      <c r="B50" s="145"/>
      <c r="C50" s="145"/>
      <c r="D50" s="12"/>
      <c r="E50" s="184"/>
      <c r="F50" s="24"/>
      <c r="G50" s="24"/>
      <c r="H50" s="256"/>
      <c r="I50" s="24"/>
      <c r="J50" s="24"/>
      <c r="K50" s="24"/>
      <c r="L50" s="24"/>
      <c r="M50" s="24"/>
      <c r="N50" s="24"/>
      <c r="O50" s="24"/>
      <c r="P50" s="24"/>
      <c r="Q50" s="24"/>
      <c r="R50" s="29"/>
      <c r="S50" s="171"/>
      <c r="T50" s="188"/>
      <c r="U50" s="18"/>
      <c r="V50" s="152"/>
      <c r="W50" s="110"/>
      <c r="X50" s="110"/>
      <c r="Y50" s="128"/>
      <c r="Z50" s="110"/>
      <c r="AA50" s="109"/>
      <c r="AB50" s="109"/>
      <c r="AC50" s="109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116"/>
    </row>
    <row r="51" spans="1:45" s="22" customFormat="1" x14ac:dyDescent="0.2">
      <c r="A51" s="145" t="s">
        <v>61</v>
      </c>
      <c r="B51" s="145" t="s">
        <v>631</v>
      </c>
      <c r="C51" s="145" t="s">
        <v>456</v>
      </c>
      <c r="D51" s="101">
        <v>10</v>
      </c>
      <c r="E51" s="184">
        <v>0.1</v>
      </c>
      <c r="F51" s="88">
        <v>42185</v>
      </c>
      <c r="G51" s="90">
        <v>120</v>
      </c>
      <c r="H51" s="201">
        <f t="shared" ref="H51:H52" si="35">100/G51</f>
        <v>0.83333333333333337</v>
      </c>
      <c r="I51" s="233">
        <f t="shared" ref="I51:I52" si="36">H51*J51</f>
        <v>12.5</v>
      </c>
      <c r="J51" s="90">
        <f>(YEAR(F51)-YEAR(S51))*12+MONTH(F51)-MONTH(S51)</f>
        <v>15</v>
      </c>
      <c r="K51" s="233">
        <f>L51*H51</f>
        <v>87.5</v>
      </c>
      <c r="L51" s="90">
        <f>G51-J51</f>
        <v>105</v>
      </c>
      <c r="M51" s="233">
        <f>N51*H51</f>
        <v>5.8333333333333339</v>
      </c>
      <c r="N51" s="90">
        <v>7</v>
      </c>
      <c r="O51" s="233">
        <f t="shared" ref="O51:O52" si="37">K51-M51</f>
        <v>81.666666666666671</v>
      </c>
      <c r="P51" s="90">
        <f t="shared" ref="P51:P53" si="38">L51-N51</f>
        <v>98</v>
      </c>
      <c r="Q51" s="90">
        <f t="shared" ref="Q51:Q52" si="39">M51-O51</f>
        <v>-75.833333333333343</v>
      </c>
      <c r="R51" s="88" t="s">
        <v>655</v>
      </c>
      <c r="S51" s="171">
        <v>41726</v>
      </c>
      <c r="T51" s="188">
        <v>249.01</v>
      </c>
      <c r="U51" s="89">
        <v>219.9</v>
      </c>
      <c r="V51" s="152">
        <v>10.4</v>
      </c>
      <c r="W51" s="233">
        <v>0</v>
      </c>
      <c r="X51" s="100">
        <v>115.958</v>
      </c>
      <c r="Y51" s="125">
        <v>113.099</v>
      </c>
      <c r="Z51" s="100">
        <f>X51/Y51</f>
        <v>1.0252787380967117</v>
      </c>
      <c r="AA51" s="98">
        <f>U51*M51/100/K51*100/7</f>
        <v>2.0942857142857148</v>
      </c>
      <c r="AB51" s="98">
        <f>AA51*Z51</f>
        <v>2.1472266143568279</v>
      </c>
      <c r="AC51" s="98"/>
      <c r="AD51" s="98"/>
      <c r="AE51" s="98"/>
      <c r="AF51" s="98"/>
      <c r="AG51" s="98"/>
      <c r="AH51" s="98">
        <f>AB51</f>
        <v>2.1472266143568279</v>
      </c>
      <c r="AI51" s="98">
        <v>2.1472266143568279</v>
      </c>
      <c r="AJ51" s="98">
        <v>2.1472266143568279</v>
      </c>
      <c r="AK51" s="98">
        <v>2.1472266143568279</v>
      </c>
      <c r="AL51" s="98">
        <v>2.1472266143568279</v>
      </c>
      <c r="AM51" s="98">
        <v>2.1472266143568279</v>
      </c>
      <c r="AN51" s="98">
        <v>2.1472266143568279</v>
      </c>
      <c r="AO51" s="98">
        <f>SUM(AC51:AN51)</f>
        <v>15.030586300497797</v>
      </c>
      <c r="AP51" s="116">
        <f>U51-AO51</f>
        <v>204.86941369950222</v>
      </c>
    </row>
    <row r="52" spans="1:45" s="22" customFormat="1" x14ac:dyDescent="0.2">
      <c r="A52" s="145" t="s">
        <v>106</v>
      </c>
      <c r="B52" s="145" t="s">
        <v>632</v>
      </c>
      <c r="C52" s="145" t="s">
        <v>619</v>
      </c>
      <c r="D52" s="101">
        <v>10</v>
      </c>
      <c r="E52" s="184">
        <v>0.1</v>
      </c>
      <c r="F52" s="88">
        <v>42185</v>
      </c>
      <c r="G52" s="24">
        <v>120</v>
      </c>
      <c r="H52" s="201">
        <f t="shared" si="35"/>
        <v>0.83333333333333337</v>
      </c>
      <c r="I52" s="233">
        <f t="shared" si="36"/>
        <v>19.166666666666668</v>
      </c>
      <c r="J52" s="90">
        <f>(YEAR(F52)-YEAR(S52))*12+MONTH(F52)-MONTH(S52)</f>
        <v>23</v>
      </c>
      <c r="K52" s="233">
        <f>L52*H52</f>
        <v>80.833333333333343</v>
      </c>
      <c r="L52" s="90">
        <f>G52-J52</f>
        <v>97</v>
      </c>
      <c r="M52" s="233">
        <f>N52*H52</f>
        <v>5.8333333333333339</v>
      </c>
      <c r="N52" s="90">
        <v>7</v>
      </c>
      <c r="O52" s="233">
        <f t="shared" si="37"/>
        <v>75.000000000000014</v>
      </c>
      <c r="P52" s="90">
        <f t="shared" si="38"/>
        <v>90</v>
      </c>
      <c r="Q52" s="90">
        <f t="shared" si="39"/>
        <v>-69.166666666666686</v>
      </c>
      <c r="R52" s="171" t="s">
        <v>653</v>
      </c>
      <c r="S52" s="171">
        <v>41486</v>
      </c>
      <c r="T52" s="188">
        <v>570</v>
      </c>
      <c r="U52" s="18">
        <v>465.5</v>
      </c>
      <c r="V52" s="152">
        <v>23.75</v>
      </c>
      <c r="W52" s="110"/>
      <c r="X52" s="100">
        <v>115.958</v>
      </c>
      <c r="Y52" s="125">
        <v>108.60899999999999</v>
      </c>
      <c r="Z52" s="100">
        <f>X52/Y52</f>
        <v>1.0676647423325876</v>
      </c>
      <c r="AA52" s="98">
        <f>U52*M52/100/K52*100/7</f>
        <v>4.7989690721649483</v>
      </c>
      <c r="AB52" s="98">
        <f>AA52*Z52</f>
        <v>5.1236900778950467</v>
      </c>
      <c r="AC52" s="98"/>
      <c r="AD52" s="98"/>
      <c r="AE52" s="98"/>
      <c r="AF52" s="98"/>
      <c r="AG52" s="98"/>
      <c r="AH52" s="98">
        <f>AB52</f>
        <v>5.1236900778950467</v>
      </c>
      <c r="AI52" s="98">
        <v>5.1236900778950467</v>
      </c>
      <c r="AJ52" s="98">
        <v>5.1236900778950467</v>
      </c>
      <c r="AK52" s="98">
        <v>5.1236900778950467</v>
      </c>
      <c r="AL52" s="98">
        <v>5.1236900778950467</v>
      </c>
      <c r="AM52" s="98">
        <v>5.1236900778950467</v>
      </c>
      <c r="AN52" s="98">
        <v>5.1236900778950467</v>
      </c>
      <c r="AO52" s="98">
        <f>SUM(AC52:AN52)</f>
        <v>35.865830545265332</v>
      </c>
      <c r="AP52" s="116">
        <f>U52-AO52</f>
        <v>429.63416945473466</v>
      </c>
    </row>
    <row r="53" spans="1:45" s="449" customFormat="1" x14ac:dyDescent="0.2">
      <c r="A53" s="434" t="s">
        <v>881</v>
      </c>
      <c r="B53" s="434" t="s">
        <v>879</v>
      </c>
      <c r="C53" s="450" t="s">
        <v>619</v>
      </c>
      <c r="D53" s="435">
        <v>10</v>
      </c>
      <c r="E53" s="461">
        <v>0.1</v>
      </c>
      <c r="F53" s="437">
        <v>42349</v>
      </c>
      <c r="G53" s="435">
        <v>119</v>
      </c>
      <c r="H53" s="439">
        <f>100/G53</f>
        <v>0.84033613445378152</v>
      </c>
      <c r="I53" s="440">
        <f>H53*J53</f>
        <v>0</v>
      </c>
      <c r="J53" s="438">
        <f>(YEAR(F53)-YEAR(S53))*12+MONTH(F53)-MONTH(S53)</f>
        <v>0</v>
      </c>
      <c r="K53" s="440">
        <f>L53*H53</f>
        <v>100</v>
      </c>
      <c r="L53" s="438">
        <f>G53-J53</f>
        <v>119</v>
      </c>
      <c r="M53" s="440">
        <f>N53*H53</f>
        <v>5.0420168067226889</v>
      </c>
      <c r="N53" s="438">
        <v>6</v>
      </c>
      <c r="O53" s="440">
        <f>P53*H53</f>
        <v>94.957983193277315</v>
      </c>
      <c r="P53" s="438">
        <f t="shared" si="38"/>
        <v>113</v>
      </c>
      <c r="Q53" s="438"/>
      <c r="R53" s="454" t="s">
        <v>880</v>
      </c>
      <c r="S53" s="437">
        <v>42349</v>
      </c>
      <c r="T53" s="442">
        <v>336</v>
      </c>
      <c r="U53" s="442">
        <v>0</v>
      </c>
      <c r="V53" s="444">
        <v>0</v>
      </c>
      <c r="W53" s="456"/>
      <c r="X53" s="445">
        <v>115.958</v>
      </c>
      <c r="Y53" s="446">
        <v>118.532</v>
      </c>
      <c r="Z53" s="445">
        <f>X53/Y53</f>
        <v>0.97828434515573859</v>
      </c>
      <c r="AA53" s="447">
        <f>H53*T53/100</f>
        <v>2.8235294117647061</v>
      </c>
      <c r="AB53" s="447">
        <f>AA53*Z53</f>
        <v>2.7622146216162031</v>
      </c>
      <c r="AC53" s="447"/>
      <c r="AD53" s="447"/>
      <c r="AE53" s="447"/>
      <c r="AF53" s="447"/>
      <c r="AG53" s="447"/>
      <c r="AH53" s="447"/>
      <c r="AI53" s="447"/>
      <c r="AJ53" s="447"/>
      <c r="AK53" s="447"/>
      <c r="AL53" s="447"/>
      <c r="AM53" s="447"/>
      <c r="AN53" s="447"/>
      <c r="AO53" s="447"/>
      <c r="AP53" s="448">
        <f>T53</f>
        <v>336</v>
      </c>
      <c r="AQ53" s="22"/>
      <c r="AR53" s="22"/>
      <c r="AS53" s="22"/>
    </row>
    <row r="54" spans="1:45" s="22" customFormat="1" x14ac:dyDescent="0.2">
      <c r="A54" s="388" t="s">
        <v>61</v>
      </c>
      <c r="B54" s="388" t="s">
        <v>819</v>
      </c>
      <c r="C54" s="388" t="s">
        <v>456</v>
      </c>
      <c r="D54" s="389">
        <v>10</v>
      </c>
      <c r="E54" s="390">
        <v>0.1</v>
      </c>
      <c r="F54" s="391">
        <v>42185</v>
      </c>
      <c r="G54" s="392">
        <v>120</v>
      </c>
      <c r="H54" s="393">
        <f t="shared" ref="H54" si="40">100/G54</f>
        <v>0.83333333333333337</v>
      </c>
      <c r="I54" s="394">
        <f t="shared" ref="I54" si="41">H54*J54</f>
        <v>0</v>
      </c>
      <c r="J54" s="392">
        <f>(YEAR(F54)-YEAR(S54))*12+MONTH(F54)-MONTH(S54)</f>
        <v>0</v>
      </c>
      <c r="K54" s="394">
        <f>L54*H54</f>
        <v>100</v>
      </c>
      <c r="L54" s="392">
        <f>G54-J54</f>
        <v>120</v>
      </c>
      <c r="M54" s="394">
        <f>N54*H54</f>
        <v>5</v>
      </c>
      <c r="N54" s="392">
        <v>6</v>
      </c>
      <c r="O54" s="394">
        <f t="shared" ref="O54:Q54" si="42">K54-M54</f>
        <v>95</v>
      </c>
      <c r="P54" s="392">
        <f t="shared" si="42"/>
        <v>114</v>
      </c>
      <c r="Q54" s="392">
        <f t="shared" si="42"/>
        <v>-90</v>
      </c>
      <c r="R54" s="391" t="s">
        <v>820</v>
      </c>
      <c r="S54" s="395">
        <v>42160</v>
      </c>
      <c r="T54" s="396">
        <v>877</v>
      </c>
      <c r="U54" s="397">
        <v>0</v>
      </c>
      <c r="V54" s="398">
        <v>0</v>
      </c>
      <c r="W54" s="394">
        <v>0</v>
      </c>
      <c r="X54" s="399">
        <v>115.958</v>
      </c>
      <c r="Y54" s="400">
        <v>113.099</v>
      </c>
      <c r="Z54" s="399">
        <f>X54/Y54</f>
        <v>1.0252787380967117</v>
      </c>
      <c r="AA54" s="401">
        <f>T54*M54/100/K54*100/7</f>
        <v>6.2642857142857142</v>
      </c>
      <c r="AB54" s="401">
        <f t="shared" ref="AB54:AB55" si="43">AA54*Z54</f>
        <v>6.4226389522201153</v>
      </c>
      <c r="AC54" s="401"/>
      <c r="AD54" s="401"/>
      <c r="AE54" s="401"/>
      <c r="AF54" s="401"/>
      <c r="AG54" s="401"/>
      <c r="AH54" s="401"/>
      <c r="AI54" s="401">
        <v>6.42</v>
      </c>
      <c r="AJ54" s="401">
        <v>6.42</v>
      </c>
      <c r="AK54" s="401">
        <v>6.42</v>
      </c>
      <c r="AL54" s="401">
        <v>6.42</v>
      </c>
      <c r="AM54" s="401">
        <v>6.42</v>
      </c>
      <c r="AN54" s="401">
        <v>6.42</v>
      </c>
      <c r="AO54" s="401">
        <f>SUM(AC54:AN54)</f>
        <v>38.520000000000003</v>
      </c>
      <c r="AP54" s="402">
        <f>T54-AO54</f>
        <v>838.48</v>
      </c>
    </row>
    <row r="55" spans="1:45" s="22" customFormat="1" x14ac:dyDescent="0.2">
      <c r="A55" s="388" t="s">
        <v>61</v>
      </c>
      <c r="B55" s="388" t="s">
        <v>819</v>
      </c>
      <c r="C55" s="388" t="s">
        <v>456</v>
      </c>
      <c r="D55" s="389">
        <v>10</v>
      </c>
      <c r="E55" s="390">
        <v>0.1</v>
      </c>
      <c r="F55" s="391">
        <v>42185</v>
      </c>
      <c r="G55" s="392">
        <v>120</v>
      </c>
      <c r="H55" s="393">
        <f t="shared" ref="H55" si="44">100/G55</f>
        <v>0.83333333333333337</v>
      </c>
      <c r="I55" s="394">
        <f t="shared" ref="I55" si="45">H55*J55</f>
        <v>0</v>
      </c>
      <c r="J55" s="392">
        <f>(YEAR(F55)-YEAR(S55))*12+MONTH(F55)-MONTH(S55)</f>
        <v>0</v>
      </c>
      <c r="K55" s="394">
        <f>L55*H55</f>
        <v>100</v>
      </c>
      <c r="L55" s="392">
        <f>G55-J55</f>
        <v>120</v>
      </c>
      <c r="M55" s="394">
        <f>N55*H55</f>
        <v>5</v>
      </c>
      <c r="N55" s="392">
        <v>6</v>
      </c>
      <c r="O55" s="394">
        <f t="shared" ref="O55" si="46">K55-M55</f>
        <v>95</v>
      </c>
      <c r="P55" s="392">
        <f t="shared" ref="P55" si="47">L55-N55</f>
        <v>114</v>
      </c>
      <c r="Q55" s="392">
        <f t="shared" ref="Q55" si="48">M55-O55</f>
        <v>-90</v>
      </c>
      <c r="R55" s="391" t="s">
        <v>821</v>
      </c>
      <c r="S55" s="395">
        <v>42156</v>
      </c>
      <c r="T55" s="396">
        <v>877</v>
      </c>
      <c r="U55" s="397">
        <v>0</v>
      </c>
      <c r="V55" s="398">
        <v>0</v>
      </c>
      <c r="W55" s="394">
        <v>0</v>
      </c>
      <c r="X55" s="399">
        <v>115.958</v>
      </c>
      <c r="Y55" s="400">
        <v>113.099</v>
      </c>
      <c r="Z55" s="399">
        <f>X55/Y55</f>
        <v>1.0252787380967117</v>
      </c>
      <c r="AA55" s="401">
        <f>T55*M55/100/K55*100/7</f>
        <v>6.2642857142857142</v>
      </c>
      <c r="AB55" s="401">
        <f t="shared" si="43"/>
        <v>6.4226389522201153</v>
      </c>
      <c r="AC55" s="401"/>
      <c r="AD55" s="401"/>
      <c r="AE55" s="401"/>
      <c r="AF55" s="401"/>
      <c r="AG55" s="401"/>
      <c r="AH55" s="401"/>
      <c r="AI55" s="401">
        <v>6.42</v>
      </c>
      <c r="AJ55" s="401">
        <v>6.42</v>
      </c>
      <c r="AK55" s="401">
        <v>6.42</v>
      </c>
      <c r="AL55" s="401">
        <v>6.42</v>
      </c>
      <c r="AM55" s="401">
        <v>6.42</v>
      </c>
      <c r="AN55" s="401">
        <v>6.42</v>
      </c>
      <c r="AO55" s="401">
        <f>SUM(AC55:AN55)</f>
        <v>38.520000000000003</v>
      </c>
      <c r="AP55" s="402">
        <f>T55-AO55</f>
        <v>838.48</v>
      </c>
    </row>
    <row r="56" spans="1:45" s="22" customFormat="1" x14ac:dyDescent="0.2">
      <c r="A56" s="172" t="s">
        <v>68</v>
      </c>
      <c r="B56" s="172" t="s">
        <v>93</v>
      </c>
      <c r="C56" s="172"/>
      <c r="D56" s="185"/>
      <c r="E56" s="184"/>
      <c r="F56" s="24"/>
      <c r="G56" s="24"/>
      <c r="H56" s="256"/>
      <c r="I56" s="24"/>
      <c r="J56" s="24"/>
      <c r="K56" s="24"/>
      <c r="L56" s="24"/>
      <c r="M56" s="24"/>
      <c r="N56" s="24"/>
      <c r="O56" s="24"/>
      <c r="P56" s="24"/>
      <c r="Q56" s="24"/>
      <c r="R56" s="29"/>
      <c r="S56" s="171"/>
      <c r="T56" s="188"/>
      <c r="U56" s="18"/>
      <c r="V56" s="152"/>
      <c r="W56" s="110"/>
      <c r="X56" s="110"/>
      <c r="Y56" s="128"/>
      <c r="Z56" s="110"/>
      <c r="AA56" s="109"/>
      <c r="AB56" s="109"/>
      <c r="AC56" s="109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116"/>
    </row>
    <row r="57" spans="1:45" s="22" customFormat="1" x14ac:dyDescent="0.2">
      <c r="A57" s="172" t="s">
        <v>82</v>
      </c>
      <c r="B57" s="145"/>
      <c r="C57" s="145"/>
      <c r="D57" s="12"/>
      <c r="E57" s="184"/>
      <c r="F57" s="88"/>
      <c r="G57" s="90"/>
      <c r="H57" s="201"/>
      <c r="I57" s="90"/>
      <c r="J57" s="90"/>
      <c r="K57" s="90"/>
      <c r="L57" s="90"/>
      <c r="M57" s="90"/>
      <c r="N57" s="90"/>
      <c r="O57" s="90"/>
      <c r="P57" s="90"/>
      <c r="Q57" s="90"/>
      <c r="R57" s="88"/>
      <c r="S57" s="171"/>
      <c r="T57" s="188"/>
      <c r="U57" s="89"/>
      <c r="V57" s="152"/>
      <c r="W57" s="233">
        <v>0</v>
      </c>
      <c r="X57" s="100"/>
      <c r="Y57" s="128"/>
      <c r="Z57" s="100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116"/>
    </row>
    <row r="58" spans="1:45" s="22" customFormat="1" x14ac:dyDescent="0.2">
      <c r="A58" s="145" t="s">
        <v>95</v>
      </c>
      <c r="B58" s="145" t="s">
        <v>633</v>
      </c>
      <c r="C58" s="145" t="s">
        <v>456</v>
      </c>
      <c r="D58" s="101">
        <v>3</v>
      </c>
      <c r="E58" s="181">
        <v>0.33329999999999999</v>
      </c>
      <c r="F58" s="88">
        <v>42185</v>
      </c>
      <c r="G58" s="90">
        <v>36</v>
      </c>
      <c r="H58" s="201">
        <f t="shared" ref="H58:H60" si="49">100/G58</f>
        <v>2.7777777777777777</v>
      </c>
      <c r="I58" s="233">
        <f t="shared" ref="I58" si="50">H58*J58</f>
        <v>44.444444444444443</v>
      </c>
      <c r="J58" s="90">
        <f>(YEAR(F58)-YEAR(S58))*12+MONTH(F58)-MONTH(S58)</f>
        <v>16</v>
      </c>
      <c r="K58" s="233">
        <f>L58*H58</f>
        <v>55.555555555555557</v>
      </c>
      <c r="L58" s="90">
        <f>G58-J58</f>
        <v>20</v>
      </c>
      <c r="M58" s="233">
        <f>N58*H58</f>
        <v>19.444444444444443</v>
      </c>
      <c r="N58" s="90">
        <v>7</v>
      </c>
      <c r="O58" s="233">
        <f t="shared" ref="O58:Q60" si="51">K58-M58</f>
        <v>36.111111111111114</v>
      </c>
      <c r="P58" s="90">
        <f t="shared" si="51"/>
        <v>13</v>
      </c>
      <c r="Q58" s="90">
        <f t="shared" si="51"/>
        <v>-16.666666666666671</v>
      </c>
      <c r="R58" s="90">
        <v>168314</v>
      </c>
      <c r="S58" s="171">
        <v>41697</v>
      </c>
      <c r="T58" s="188">
        <v>6722.2</v>
      </c>
      <c r="U58" s="89">
        <v>3548.55</v>
      </c>
      <c r="V58" s="152">
        <v>933.55</v>
      </c>
      <c r="W58" s="233">
        <v>0</v>
      </c>
      <c r="X58" s="100">
        <v>115.958</v>
      </c>
      <c r="Y58" s="125">
        <v>112.79</v>
      </c>
      <c r="Z58" s="100">
        <f>X58/Y58</f>
        <v>1.0280875964181222</v>
      </c>
      <c r="AA58" s="98">
        <f>U58*M58/100/K58*100/7</f>
        <v>177.42749999999998</v>
      </c>
      <c r="AB58" s="98">
        <f>AA58*Z58</f>
        <v>182.41101201347635</v>
      </c>
      <c r="AC58" s="98"/>
      <c r="AD58" s="98"/>
      <c r="AE58" s="98"/>
      <c r="AF58" s="98"/>
      <c r="AG58" s="98"/>
      <c r="AH58" s="98">
        <f>AB58</f>
        <v>182.41101201347635</v>
      </c>
      <c r="AI58" s="98">
        <v>182.41101201347635</v>
      </c>
      <c r="AJ58" s="98">
        <v>182.41101201347635</v>
      </c>
      <c r="AK58" s="98">
        <v>182.41101201347635</v>
      </c>
      <c r="AL58" s="98">
        <v>182.41101201347635</v>
      </c>
      <c r="AM58" s="98">
        <v>182.41101201347635</v>
      </c>
      <c r="AN58" s="98">
        <v>182.41101201347635</v>
      </c>
      <c r="AO58" s="98">
        <f>SUM(AC58:AN58)</f>
        <v>1276.8770840943344</v>
      </c>
      <c r="AP58" s="116">
        <f>U58-AO58</f>
        <v>2271.6729159056658</v>
      </c>
    </row>
    <row r="59" spans="1:45" s="22" customFormat="1" x14ac:dyDescent="0.2">
      <c r="A59" s="145" t="s">
        <v>105</v>
      </c>
      <c r="B59" s="145" t="s">
        <v>634</v>
      </c>
      <c r="C59" s="145" t="s">
        <v>619</v>
      </c>
      <c r="D59" s="101">
        <v>3</v>
      </c>
      <c r="E59" s="181">
        <v>0.33329999999999999</v>
      </c>
      <c r="F59" s="88">
        <v>42185</v>
      </c>
      <c r="G59" s="90">
        <v>36</v>
      </c>
      <c r="H59" s="201">
        <f t="shared" ref="H59" si="52">100/G59</f>
        <v>2.7777777777777777</v>
      </c>
      <c r="I59" s="233">
        <f t="shared" ref="I59" si="53">H59*J59</f>
        <v>91.666666666666657</v>
      </c>
      <c r="J59" s="90">
        <f>(YEAR(F59)-YEAR(S59))*12+MONTH(F59)-MONTH(S59)</f>
        <v>33</v>
      </c>
      <c r="K59" s="233">
        <f>L59*H59</f>
        <v>8.3333333333333321</v>
      </c>
      <c r="L59" s="90">
        <f>G59-J59</f>
        <v>3</v>
      </c>
      <c r="M59" s="233">
        <f>N59*H59</f>
        <v>19.444444444444443</v>
      </c>
      <c r="N59" s="90">
        <v>7</v>
      </c>
      <c r="O59" s="233">
        <f t="shared" ref="O59" si="54">K59-M59</f>
        <v>-11.111111111111111</v>
      </c>
      <c r="P59" s="90">
        <f t="shared" ref="P59" si="55">L59-N59</f>
        <v>-4</v>
      </c>
      <c r="Q59" s="90">
        <f t="shared" ref="Q59" si="56">M59-O59</f>
        <v>30.555555555555554</v>
      </c>
      <c r="R59" s="90">
        <v>14163</v>
      </c>
      <c r="S59" s="171">
        <v>41176</v>
      </c>
      <c r="T59" s="188">
        <v>1299</v>
      </c>
      <c r="U59" s="89">
        <v>144.44999999999999</v>
      </c>
      <c r="V59" s="152">
        <v>180.4</v>
      </c>
      <c r="W59" s="233">
        <v>0</v>
      </c>
      <c r="X59" s="100">
        <v>115.958</v>
      </c>
      <c r="Y59" s="125">
        <v>105.74299999999999</v>
      </c>
      <c r="Z59" s="100">
        <f>X59/Y59</f>
        <v>1.0966021391486906</v>
      </c>
      <c r="AA59" s="98">
        <f>U59*M59/100/K59*100/7</f>
        <v>48.149999999999991</v>
      </c>
      <c r="AB59" s="98">
        <f>AA59*Z59</f>
        <v>52.801393000009448</v>
      </c>
      <c r="AC59" s="98"/>
      <c r="AD59" s="98"/>
      <c r="AE59" s="98"/>
      <c r="AF59" s="98"/>
      <c r="AG59" s="98"/>
      <c r="AH59" s="98">
        <f>AB59</f>
        <v>52.801393000009448</v>
      </c>
      <c r="AI59" s="98">
        <v>52.801393000009448</v>
      </c>
      <c r="AJ59" s="98">
        <v>37.85</v>
      </c>
      <c r="AK59" s="98">
        <v>0</v>
      </c>
      <c r="AL59" s="98">
        <v>0</v>
      </c>
      <c r="AM59" s="98">
        <v>0</v>
      </c>
      <c r="AN59" s="98">
        <v>0</v>
      </c>
      <c r="AO59" s="98">
        <f>SUM(AC59:AN59)</f>
        <v>143.4527860000189</v>
      </c>
      <c r="AP59" s="116">
        <f>U59-AO59</f>
        <v>0.99721399998108495</v>
      </c>
    </row>
    <row r="60" spans="1:45" s="22" customFormat="1" x14ac:dyDescent="0.2">
      <c r="A60" s="388" t="s">
        <v>843</v>
      </c>
      <c r="B60" s="388" t="s">
        <v>844</v>
      </c>
      <c r="C60" s="388" t="s">
        <v>451</v>
      </c>
      <c r="D60" s="389">
        <v>3</v>
      </c>
      <c r="E60" s="403">
        <v>0.33329999999999999</v>
      </c>
      <c r="F60" s="391">
        <v>42185</v>
      </c>
      <c r="G60" s="392">
        <v>36</v>
      </c>
      <c r="H60" s="393">
        <f t="shared" si="49"/>
        <v>2.7777777777777777</v>
      </c>
      <c r="I60" s="394">
        <v>0</v>
      </c>
      <c r="J60" s="392">
        <v>0</v>
      </c>
      <c r="K60" s="394">
        <f>L60*H60</f>
        <v>100</v>
      </c>
      <c r="L60" s="392">
        <f>G60-J60</f>
        <v>36</v>
      </c>
      <c r="M60" s="394">
        <f>N60*H60</f>
        <v>2.7777777777777777</v>
      </c>
      <c r="N60" s="392">
        <v>1</v>
      </c>
      <c r="O60" s="394">
        <f t="shared" si="51"/>
        <v>97.222222222222229</v>
      </c>
      <c r="P60" s="392">
        <f t="shared" si="51"/>
        <v>35</v>
      </c>
      <c r="Q60" s="392">
        <f t="shared" si="51"/>
        <v>-94.444444444444457</v>
      </c>
      <c r="R60" s="392" t="s">
        <v>842</v>
      </c>
      <c r="S60" s="395">
        <v>42339</v>
      </c>
      <c r="T60" s="396">
        <v>2099.3000000000002</v>
      </c>
      <c r="U60" s="397">
        <v>0</v>
      </c>
      <c r="V60" s="398">
        <v>0</v>
      </c>
      <c r="W60" s="394">
        <v>0</v>
      </c>
      <c r="X60" s="399">
        <v>115.958</v>
      </c>
      <c r="Y60" s="400">
        <v>105.74299999999999</v>
      </c>
      <c r="Z60" s="399">
        <f>X60/Y60</f>
        <v>1.0966021391486906</v>
      </c>
      <c r="AA60" s="401">
        <f>T60*M60/100/K60*100/7</f>
        <v>8.3305555555555575</v>
      </c>
      <c r="AB60" s="401">
        <f>AA60*Z60</f>
        <v>9.1353050425192333</v>
      </c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>
        <v>9.14</v>
      </c>
      <c r="AO60" s="401">
        <f>SUM(AC60:AN60)</f>
        <v>9.14</v>
      </c>
      <c r="AP60" s="402">
        <f>T60-AO60</f>
        <v>2090.1600000000003</v>
      </c>
    </row>
    <row r="61" spans="1:45" s="22" customFormat="1" x14ac:dyDescent="0.2">
      <c r="A61" s="172" t="s">
        <v>74</v>
      </c>
      <c r="B61" s="172" t="s">
        <v>98</v>
      </c>
      <c r="C61" s="172"/>
      <c r="D61" s="185"/>
      <c r="E61" s="184"/>
      <c r="F61" s="88"/>
      <c r="G61" s="90"/>
      <c r="H61" s="201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171"/>
      <c r="T61" s="188"/>
      <c r="U61" s="89"/>
      <c r="V61" s="152"/>
      <c r="W61" s="233">
        <v>0</v>
      </c>
      <c r="X61" s="100"/>
      <c r="Y61" s="128"/>
      <c r="Z61" s="100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116"/>
    </row>
    <row r="62" spans="1:45" s="22" customFormat="1" x14ac:dyDescent="0.2">
      <c r="A62" s="172" t="s">
        <v>97</v>
      </c>
      <c r="B62" s="145"/>
      <c r="C62" s="145"/>
      <c r="D62" s="12"/>
      <c r="E62" s="184"/>
      <c r="F62" s="88"/>
      <c r="G62" s="90"/>
      <c r="H62" s="201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171"/>
      <c r="T62" s="188"/>
      <c r="U62" s="89"/>
      <c r="V62" s="152"/>
      <c r="W62" s="233">
        <v>0</v>
      </c>
      <c r="X62" s="100"/>
      <c r="Y62" s="128"/>
      <c r="Z62" s="100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116"/>
    </row>
    <row r="63" spans="1:45" s="22" customFormat="1" x14ac:dyDescent="0.2">
      <c r="A63" s="145" t="s">
        <v>99</v>
      </c>
      <c r="B63" s="145" t="s">
        <v>635</v>
      </c>
      <c r="C63" s="145" t="s">
        <v>457</v>
      </c>
      <c r="D63" s="101">
        <v>10</v>
      </c>
      <c r="E63" s="184">
        <v>0.1</v>
      </c>
      <c r="F63" s="88">
        <v>42185</v>
      </c>
      <c r="G63" s="90">
        <v>120</v>
      </c>
      <c r="H63" s="201">
        <f>100/G63</f>
        <v>0.83333333333333337</v>
      </c>
      <c r="I63" s="233">
        <f t="shared" ref="I63" si="57">H63*J63</f>
        <v>54.166666666666671</v>
      </c>
      <c r="J63" s="90">
        <f>(YEAR(F63)-YEAR(S63))*12+MONTH(F63)-MONTH(S63)</f>
        <v>65</v>
      </c>
      <c r="K63" s="233">
        <f>L63*H63</f>
        <v>45.833333333333336</v>
      </c>
      <c r="L63" s="90">
        <f>G63-J63</f>
        <v>55</v>
      </c>
      <c r="M63" s="233">
        <f>N63*H63</f>
        <v>5.8333333333333339</v>
      </c>
      <c r="N63" s="90">
        <v>7</v>
      </c>
      <c r="O63" s="233">
        <f>K63-M63</f>
        <v>40</v>
      </c>
      <c r="P63" s="90">
        <f>L63-N63</f>
        <v>48</v>
      </c>
      <c r="Q63" s="90">
        <f>M63-O63</f>
        <v>-34.166666666666664</v>
      </c>
      <c r="R63" s="90" t="s">
        <v>653</v>
      </c>
      <c r="S63" s="171">
        <v>40179</v>
      </c>
      <c r="T63" s="188">
        <v>1449</v>
      </c>
      <c r="U63" s="89">
        <v>664.07</v>
      </c>
      <c r="V63" s="152">
        <v>60.4</v>
      </c>
      <c r="W63" s="233">
        <v>0</v>
      </c>
      <c r="X63" s="100">
        <v>115.958</v>
      </c>
      <c r="Y63" s="125">
        <v>140.047</v>
      </c>
      <c r="Z63" s="100">
        <f>X63/Y63</f>
        <v>0.82799345933865065</v>
      </c>
      <c r="AA63" s="98">
        <f>U63*M63/100/K63*100/7</f>
        <v>12.074000000000002</v>
      </c>
      <c r="AB63" s="98">
        <f>AA63*Z63</f>
        <v>9.9971930280548698</v>
      </c>
      <c r="AC63" s="98"/>
      <c r="AD63" s="98"/>
      <c r="AE63" s="98"/>
      <c r="AF63" s="98"/>
      <c r="AG63" s="98"/>
      <c r="AH63" s="98">
        <f>AB63</f>
        <v>9.9971930280548698</v>
      </c>
      <c r="AI63" s="98">
        <v>9.9971930280548698</v>
      </c>
      <c r="AJ63" s="98">
        <v>9.9971930280548698</v>
      </c>
      <c r="AK63" s="98">
        <v>9.9971930280548698</v>
      </c>
      <c r="AL63" s="98">
        <v>9.9971930280548698</v>
      </c>
      <c r="AM63" s="98">
        <v>9.9971930280548698</v>
      </c>
      <c r="AN63" s="98">
        <v>9.9971930280548698</v>
      </c>
      <c r="AO63" s="98">
        <f>SUM(AC63:AN63)</f>
        <v>69.980351196384078</v>
      </c>
      <c r="AP63" s="116">
        <f>U63-AO63</f>
        <v>594.089648803616</v>
      </c>
    </row>
    <row r="64" spans="1:45" s="22" customFormat="1" x14ac:dyDescent="0.2">
      <c r="A64" s="172" t="s">
        <v>73</v>
      </c>
      <c r="B64" s="172" t="s">
        <v>328</v>
      </c>
      <c r="C64" s="172"/>
      <c r="D64" s="185"/>
      <c r="E64" s="157"/>
      <c r="F64" s="24"/>
      <c r="G64" s="24"/>
      <c r="H64" s="256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186"/>
      <c r="T64" s="187"/>
      <c r="U64" s="18"/>
      <c r="V64" s="152"/>
      <c r="W64" s="110"/>
      <c r="X64" s="110"/>
      <c r="Y64" s="126"/>
      <c r="Z64" s="110"/>
      <c r="AA64" s="109"/>
      <c r="AB64" s="109"/>
      <c r="AC64" s="109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116"/>
    </row>
    <row r="65" spans="1:45" s="22" customFormat="1" x14ac:dyDescent="0.2">
      <c r="A65" s="172" t="s">
        <v>353</v>
      </c>
      <c r="B65" s="178"/>
      <c r="C65" s="178"/>
      <c r="D65" s="157"/>
      <c r="E65" s="157"/>
      <c r="F65" s="24"/>
      <c r="G65" s="24"/>
      <c r="H65" s="256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171"/>
      <c r="T65" s="188"/>
      <c r="U65" s="18"/>
      <c r="V65" s="152"/>
      <c r="W65" s="110"/>
      <c r="X65" s="110"/>
      <c r="Y65" s="127"/>
      <c r="Z65" s="110"/>
      <c r="AA65" s="109"/>
      <c r="AB65" s="109"/>
      <c r="AC65" s="109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116"/>
    </row>
    <row r="66" spans="1:45" s="22" customFormat="1" x14ac:dyDescent="0.2">
      <c r="A66" s="87" t="s">
        <v>354</v>
      </c>
      <c r="B66" s="87" t="s">
        <v>328</v>
      </c>
      <c r="C66" s="87" t="s">
        <v>456</v>
      </c>
      <c r="D66" s="101">
        <v>3</v>
      </c>
      <c r="E66" s="91">
        <v>0.33329999999999999</v>
      </c>
      <c r="F66" s="88">
        <v>42185</v>
      </c>
      <c r="G66" s="90">
        <v>36</v>
      </c>
      <c r="H66" s="201">
        <f>100/G66</f>
        <v>2.7777777777777777</v>
      </c>
      <c r="I66" s="233">
        <f t="shared" ref="I66" si="58">H66*J66</f>
        <v>36.111111111111107</v>
      </c>
      <c r="J66" s="90">
        <f>(YEAR(F66)-YEAR(S66))*12+MONTH(F66)-MONTH(S66)</f>
        <v>13</v>
      </c>
      <c r="K66" s="233">
        <f>L66*H66</f>
        <v>63.888888888888886</v>
      </c>
      <c r="L66" s="90">
        <f>G66-J66</f>
        <v>23</v>
      </c>
      <c r="M66" s="233">
        <f>N66*H66</f>
        <v>19.444444444444443</v>
      </c>
      <c r="N66" s="90">
        <v>7</v>
      </c>
      <c r="O66" s="233">
        <f>K66-M66</f>
        <v>44.444444444444443</v>
      </c>
      <c r="P66" s="90">
        <f>L66-N66</f>
        <v>16</v>
      </c>
      <c r="Q66" s="90">
        <f>M66-O66</f>
        <v>-25</v>
      </c>
      <c r="R66" s="90" t="s">
        <v>656</v>
      </c>
      <c r="S66" s="88">
        <v>41786</v>
      </c>
      <c r="T66" s="89">
        <v>249</v>
      </c>
      <c r="U66" s="89">
        <v>159.05000000000001</v>
      </c>
      <c r="V66" s="152">
        <v>34.6</v>
      </c>
      <c r="W66" s="233">
        <v>0</v>
      </c>
      <c r="X66" s="100">
        <v>115.958</v>
      </c>
      <c r="Y66" s="125">
        <v>112.527</v>
      </c>
      <c r="Z66" s="100">
        <f>X66/Y66</f>
        <v>1.0304904600673617</v>
      </c>
      <c r="AA66" s="98">
        <f>U66*M66/100/K66*100/7</f>
        <v>6.9152173913043482</v>
      </c>
      <c r="AB66" s="98">
        <f>AA66*Z66</f>
        <v>7.1260655510310382</v>
      </c>
      <c r="AC66" s="98"/>
      <c r="AD66" s="98"/>
      <c r="AE66" s="98"/>
      <c r="AF66" s="98"/>
      <c r="AG66" s="98"/>
      <c r="AH66" s="98">
        <f>AB66</f>
        <v>7.1260655510310382</v>
      </c>
      <c r="AI66" s="98">
        <v>7.1260655510310382</v>
      </c>
      <c r="AJ66" s="98">
        <v>7.1260655510310382</v>
      </c>
      <c r="AK66" s="98">
        <v>7.1260655510310382</v>
      </c>
      <c r="AL66" s="98">
        <v>7.1260655510310382</v>
      </c>
      <c r="AM66" s="98">
        <v>7.1260655510310382</v>
      </c>
      <c r="AN66" s="98">
        <v>7.1260655510310382</v>
      </c>
      <c r="AO66" s="98">
        <f>SUM(AC66:AN66)</f>
        <v>49.882458857217273</v>
      </c>
      <c r="AP66" s="116">
        <f>U66-AO66</f>
        <v>109.16754114278274</v>
      </c>
    </row>
    <row r="67" spans="1:45" s="22" customFormat="1" x14ac:dyDescent="0.2">
      <c r="A67" s="172" t="s">
        <v>62</v>
      </c>
      <c r="B67" s="172" t="s">
        <v>109</v>
      </c>
      <c r="C67" s="172"/>
      <c r="D67" s="185"/>
      <c r="E67" s="157"/>
      <c r="F67" s="24"/>
      <c r="G67" s="24"/>
      <c r="H67" s="256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186"/>
      <c r="T67" s="187"/>
      <c r="U67" s="18"/>
      <c r="V67" s="152"/>
      <c r="W67" s="110"/>
      <c r="X67" s="110"/>
      <c r="Y67" s="126"/>
      <c r="Z67" s="110"/>
      <c r="AA67" s="109"/>
      <c r="AB67" s="109"/>
      <c r="AC67" s="109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116"/>
    </row>
    <row r="68" spans="1:45" s="22" customFormat="1" x14ac:dyDescent="0.2">
      <c r="A68" s="172" t="s">
        <v>63</v>
      </c>
      <c r="B68" s="178"/>
      <c r="C68" s="178"/>
      <c r="D68" s="157"/>
      <c r="E68" s="157"/>
      <c r="F68" s="24"/>
      <c r="G68" s="24"/>
      <c r="H68" s="256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186"/>
      <c r="T68" s="187"/>
      <c r="U68" s="18"/>
      <c r="V68" s="152"/>
      <c r="W68" s="110"/>
      <c r="X68" s="110"/>
      <c r="Y68" s="126"/>
      <c r="Z68" s="110"/>
      <c r="AA68" s="109"/>
      <c r="AB68" s="109"/>
      <c r="AC68" s="109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116"/>
    </row>
    <row r="69" spans="1:45" s="22" customFormat="1" x14ac:dyDescent="0.2">
      <c r="A69" s="97" t="s">
        <v>64</v>
      </c>
      <c r="B69" s="97" t="s">
        <v>636</v>
      </c>
      <c r="C69" s="97" t="s">
        <v>456</v>
      </c>
      <c r="D69" s="101">
        <v>1</v>
      </c>
      <c r="E69" s="96">
        <v>1</v>
      </c>
      <c r="F69" s="88">
        <v>42185</v>
      </c>
      <c r="G69" s="90">
        <v>12</v>
      </c>
      <c r="H69" s="201">
        <f>100/G69</f>
        <v>8.3333333333333339</v>
      </c>
      <c r="I69" s="233">
        <f t="shared" ref="I69:I70" si="59">H69*J69</f>
        <v>133.33333333333334</v>
      </c>
      <c r="J69" s="90">
        <f>(YEAR(F69)-YEAR(S69))*12+MONTH(F69)-MONTH(S69)</f>
        <v>16</v>
      </c>
      <c r="K69" s="233">
        <f>L69*H69</f>
        <v>-33.333333333333336</v>
      </c>
      <c r="L69" s="90">
        <f>G69-J69</f>
        <v>-4</v>
      </c>
      <c r="M69" s="233">
        <f>N69*H69</f>
        <v>58.333333333333336</v>
      </c>
      <c r="N69" s="90">
        <v>7</v>
      </c>
      <c r="O69" s="233">
        <f t="shared" ref="O69:Q70" si="60">K69-M69</f>
        <v>-91.666666666666671</v>
      </c>
      <c r="P69" s="90">
        <f t="shared" si="60"/>
        <v>-11</v>
      </c>
      <c r="Q69" s="90">
        <f t="shared" si="60"/>
        <v>150</v>
      </c>
      <c r="R69" s="90" t="s">
        <v>657</v>
      </c>
      <c r="S69" s="241">
        <v>41689</v>
      </c>
      <c r="T69" s="242">
        <v>5877.72</v>
      </c>
      <c r="U69" s="89">
        <v>832.67</v>
      </c>
      <c r="V69" s="152">
        <v>244.9</v>
      </c>
      <c r="W69" s="233">
        <v>0</v>
      </c>
      <c r="X69" s="100">
        <v>115.958</v>
      </c>
      <c r="Y69" s="129">
        <v>112.79</v>
      </c>
      <c r="Z69" s="100">
        <f>X69/Y69</f>
        <v>1.0280875964181222</v>
      </c>
      <c r="AA69" s="98">
        <f>U69/7</f>
        <v>118.95285714285714</v>
      </c>
      <c r="AB69" s="98">
        <f>AA69*Z69</f>
        <v>122.29395698706826</v>
      </c>
      <c r="AC69" s="98"/>
      <c r="AD69" s="98"/>
      <c r="AE69" s="98"/>
      <c r="AF69" s="98"/>
      <c r="AG69" s="98"/>
      <c r="AH69" s="98">
        <v>122.29</v>
      </c>
      <c r="AI69" s="98">
        <v>122.29</v>
      </c>
      <c r="AJ69" s="98">
        <v>122.29</v>
      </c>
      <c r="AK69" s="98">
        <v>122.29</v>
      </c>
      <c r="AL69" s="98">
        <v>122.29</v>
      </c>
      <c r="AM69" s="98">
        <v>122.29</v>
      </c>
      <c r="AN69" s="98">
        <v>97.93</v>
      </c>
      <c r="AO69" s="98">
        <f>SUM(AC69:AN69)</f>
        <v>831.67000000000007</v>
      </c>
      <c r="AP69" s="116">
        <f>U69-AO69</f>
        <v>0.99999999999988631</v>
      </c>
    </row>
    <row r="70" spans="1:45" s="22" customFormat="1" x14ac:dyDescent="0.2">
      <c r="A70" s="97" t="s">
        <v>64</v>
      </c>
      <c r="B70" s="87" t="s">
        <v>637</v>
      </c>
      <c r="C70" s="87" t="s">
        <v>456</v>
      </c>
      <c r="D70" s="101">
        <v>1</v>
      </c>
      <c r="E70" s="96">
        <v>1</v>
      </c>
      <c r="F70" s="88">
        <v>42185</v>
      </c>
      <c r="G70" s="24">
        <v>12</v>
      </c>
      <c r="H70" s="201">
        <f>100/G70</f>
        <v>8.3333333333333339</v>
      </c>
      <c r="I70" s="233">
        <f t="shared" si="59"/>
        <v>133.33333333333334</v>
      </c>
      <c r="J70" s="90">
        <f>(YEAR(F70)-YEAR(S70))*12+MONTH(F70)-MONTH(S70)</f>
        <v>16</v>
      </c>
      <c r="K70" s="233">
        <f>L70*H70</f>
        <v>-33.333333333333336</v>
      </c>
      <c r="L70" s="90">
        <f>G70-J70</f>
        <v>-4</v>
      </c>
      <c r="M70" s="233">
        <f>N70*H70</f>
        <v>58.333333333333336</v>
      </c>
      <c r="N70" s="90">
        <v>7</v>
      </c>
      <c r="O70" s="233">
        <f t="shared" si="60"/>
        <v>-91.666666666666671</v>
      </c>
      <c r="P70" s="90">
        <f t="shared" si="60"/>
        <v>-11</v>
      </c>
      <c r="Q70" s="90">
        <f t="shared" si="60"/>
        <v>150</v>
      </c>
      <c r="R70" s="24">
        <v>119</v>
      </c>
      <c r="S70" s="88">
        <v>41689</v>
      </c>
      <c r="T70" s="89">
        <v>2644.8</v>
      </c>
      <c r="U70" s="18">
        <v>374.68</v>
      </c>
      <c r="V70" s="152">
        <v>110.2</v>
      </c>
      <c r="W70" s="110"/>
      <c r="X70" s="100">
        <v>115.958</v>
      </c>
      <c r="Y70" s="129">
        <v>112.79</v>
      </c>
      <c r="Z70" s="100">
        <f>X70/Y70</f>
        <v>1.0280875964181222</v>
      </c>
      <c r="AA70" s="98">
        <f>U70/7</f>
        <v>53.525714285714287</v>
      </c>
      <c r="AB70" s="98">
        <f>AA70*Z70</f>
        <v>55.029122946563149</v>
      </c>
      <c r="AC70" s="98"/>
      <c r="AD70" s="98"/>
      <c r="AE70" s="98"/>
      <c r="AF70" s="98"/>
      <c r="AG70" s="98"/>
      <c r="AH70" s="98">
        <v>53.53</v>
      </c>
      <c r="AI70" s="98">
        <v>53.53</v>
      </c>
      <c r="AJ70" s="98">
        <v>53.53</v>
      </c>
      <c r="AK70" s="98">
        <v>53.53</v>
      </c>
      <c r="AL70" s="98">
        <v>53.53</v>
      </c>
      <c r="AM70" s="98">
        <v>53.53</v>
      </c>
      <c r="AN70" s="98">
        <v>52.5</v>
      </c>
      <c r="AO70" s="98">
        <f>SUM(AC70:AN70)</f>
        <v>373.67999999999995</v>
      </c>
      <c r="AP70" s="116">
        <f>U70-AO70</f>
        <v>1.0000000000000568</v>
      </c>
    </row>
    <row r="71" spans="1:45" x14ac:dyDescent="0.2">
      <c r="R71" s="243"/>
      <c r="V71" s="336"/>
      <c r="AB71" s="263"/>
      <c r="AH71" s="263">
        <f>SUM(AH15:AH70)</f>
        <v>951.83781677354443</v>
      </c>
      <c r="AI71" s="263"/>
      <c r="AJ71" s="263"/>
      <c r="AK71" s="263"/>
      <c r="AL71" s="263"/>
      <c r="AM71" s="263"/>
      <c r="AN71" s="263">
        <f t="shared" ref="AN71" si="61">SUM(AN15:AN70)</f>
        <v>1109.5382044738578</v>
      </c>
      <c r="AO71" s="263">
        <f>SUM(AO15:AO70)</f>
        <v>7462.2495331150885</v>
      </c>
      <c r="AP71" s="263">
        <f>SUM(AP15:AP70)</f>
        <v>36829.810466884912</v>
      </c>
    </row>
    <row r="72" spans="1:45" s="150" customFormat="1" x14ac:dyDescent="0.2">
      <c r="A72" s="156" t="s">
        <v>460</v>
      </c>
      <c r="B72" s="132"/>
      <c r="C72" s="132"/>
      <c r="D72" s="133"/>
      <c r="E72" s="133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4"/>
      <c r="S72" s="134"/>
      <c r="T72" s="135"/>
      <c r="U72" s="135"/>
      <c r="W72"/>
      <c r="X72"/>
      <c r="Y72" s="121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 s="113"/>
      <c r="AQ72" s="149"/>
      <c r="AR72" s="149"/>
      <c r="AS72" s="149"/>
    </row>
    <row r="73" spans="1:45" s="150" customFormat="1" x14ac:dyDescent="0.2">
      <c r="A73" s="14"/>
      <c r="B73"/>
      <c r="C73"/>
      <c r="D73" s="27"/>
      <c r="E73" s="27"/>
      <c r="F73"/>
      <c r="G73"/>
      <c r="H73"/>
      <c r="I73"/>
      <c r="J73"/>
      <c r="K73"/>
      <c r="L73"/>
      <c r="M73"/>
      <c r="N73"/>
      <c r="O73"/>
      <c r="P73"/>
      <c r="Q73"/>
      <c r="R73" s="28"/>
      <c r="S73" s="28"/>
      <c r="T73" s="16"/>
      <c r="U73" s="16"/>
      <c r="W73"/>
      <c r="X73"/>
      <c r="Y73" s="121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 s="525">
        <f>AN71-AN60-AN55-AN54-AN20</f>
        <v>837.27820447385761</v>
      </c>
      <c r="AO73"/>
      <c r="AP73" s="113"/>
      <c r="AQ73" s="149"/>
      <c r="AR73" s="149"/>
      <c r="AS73" s="149"/>
    </row>
    <row r="74" spans="1:45" ht="30.75" hidden="1" customHeight="1" x14ac:dyDescent="0.2">
      <c r="A74" s="568" t="s">
        <v>613</v>
      </c>
      <c r="B74" s="568"/>
      <c r="C74" s="568"/>
      <c r="D74" s="568"/>
      <c r="E74" s="568"/>
      <c r="F74" s="568"/>
      <c r="G74" s="568"/>
      <c r="H74" s="568"/>
      <c r="I74" s="568"/>
      <c r="J74" s="568"/>
      <c r="K74" s="568"/>
      <c r="L74" s="568"/>
      <c r="M74" s="568"/>
      <c r="N74" s="568"/>
      <c r="O74" s="568"/>
      <c r="P74" s="568"/>
      <c r="Q74" s="568"/>
      <c r="R74" s="568"/>
      <c r="S74" s="568"/>
      <c r="T74" s="568"/>
      <c r="U74" s="568"/>
      <c r="V74" s="568"/>
      <c r="W74" s="568"/>
      <c r="X74" s="568"/>
      <c r="Y74" s="239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</row>
    <row r="75" spans="1:45" hidden="1" x14ac:dyDescent="0.2">
      <c r="A75" s="568"/>
      <c r="B75" s="568"/>
      <c r="C75" s="568"/>
      <c r="D75" s="568"/>
      <c r="E75" s="568"/>
      <c r="F75" s="568"/>
      <c r="G75" s="568"/>
      <c r="H75" s="568"/>
      <c r="I75" s="568"/>
      <c r="J75" s="568"/>
      <c r="K75" s="568"/>
      <c r="L75" s="568"/>
      <c r="M75" s="568"/>
      <c r="N75" s="568"/>
      <c r="O75" s="568"/>
      <c r="P75" s="568"/>
      <c r="Q75" s="568"/>
      <c r="R75" s="568"/>
      <c r="S75" s="568"/>
      <c r="T75" s="568"/>
      <c r="U75" s="568"/>
      <c r="V75" s="568"/>
      <c r="W75" s="568"/>
      <c r="X75" s="568"/>
    </row>
    <row r="76" spans="1:45" x14ac:dyDescent="0.2">
      <c r="X76" s="567" t="s">
        <v>1062</v>
      </c>
      <c r="Y76" s="572"/>
      <c r="Z76" s="572"/>
      <c r="AA76" s="572"/>
      <c r="AB76" s="572"/>
      <c r="AN76" s="373">
        <f>SUM(AO60+AO55+AO54+AO20)+AN73</f>
        <v>1924.5782044738576</v>
      </c>
      <c r="AO76" s="150"/>
    </row>
    <row r="77" spans="1:45" x14ac:dyDescent="0.2">
      <c r="X77" s="572"/>
      <c r="Y77" s="572"/>
      <c r="Z77" s="572"/>
      <c r="AA77" s="572"/>
      <c r="AB77" s="572"/>
    </row>
    <row r="78" spans="1:45" x14ac:dyDescent="0.2">
      <c r="X78" s="572"/>
      <c r="Y78" s="572"/>
      <c r="Z78" s="572"/>
      <c r="AA78" s="572"/>
      <c r="AB78" s="572"/>
    </row>
    <row r="79" spans="1:45" x14ac:dyDescent="0.2">
      <c r="X79" s="572"/>
      <c r="Y79" s="572"/>
      <c r="Z79" s="572"/>
      <c r="AA79" s="572"/>
      <c r="AB79" s="572"/>
    </row>
  </sheetData>
  <mergeCells count="26">
    <mergeCell ref="X76:AB79"/>
    <mergeCell ref="D10:P10"/>
    <mergeCell ref="R10:T10"/>
    <mergeCell ref="U10:AP10"/>
    <mergeCell ref="A11:A12"/>
    <mergeCell ref="B11:B12"/>
    <mergeCell ref="E11:E12"/>
    <mergeCell ref="F11:F12"/>
    <mergeCell ref="I11:I12"/>
    <mergeCell ref="J11:J12"/>
    <mergeCell ref="G11:G12"/>
    <mergeCell ref="M11:M12"/>
    <mergeCell ref="O11:O12"/>
    <mergeCell ref="K11:K12"/>
    <mergeCell ref="L11:L12"/>
    <mergeCell ref="AA11:AA12"/>
    <mergeCell ref="AB11:AB12"/>
    <mergeCell ref="A74:X75"/>
    <mergeCell ref="R11:R12"/>
    <mergeCell ref="S11:S12"/>
    <mergeCell ref="T11:T12"/>
    <mergeCell ref="U11:U12"/>
    <mergeCell ref="V11:V12"/>
    <mergeCell ref="W11:W12"/>
    <mergeCell ref="H11:H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24"/>
  <sheetViews>
    <sheetView topLeftCell="R1" zoomScale="130" zoomScaleNormal="130" workbookViewId="0">
      <selection activeCell="AB21" sqref="AB21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2.1406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9.1406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</cols>
  <sheetData>
    <row r="1" spans="1:42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2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2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2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2" x14ac:dyDescent="0.2">
      <c r="A5" s="137"/>
      <c r="B5" s="144" t="s">
        <v>847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2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2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2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2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2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ht="54" customHeight="1" x14ac:dyDescent="0.25">
      <c r="A11" s="552" t="s">
        <v>60</v>
      </c>
      <c r="B11" s="552" t="s">
        <v>0</v>
      </c>
      <c r="C11" s="38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86" t="s">
        <v>680</v>
      </c>
      <c r="O11" s="556" t="s">
        <v>643</v>
      </c>
      <c r="P11" s="387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2" ht="32.25" customHeight="1" x14ac:dyDescent="0.25">
      <c r="A12" s="553"/>
      <c r="B12" s="553"/>
      <c r="C12" s="229" t="s">
        <v>847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2" s="22" customFormat="1" x14ac:dyDescent="0.2">
      <c r="A13" s="172" t="s">
        <v>68</v>
      </c>
      <c r="B13" s="172" t="s">
        <v>155</v>
      </c>
      <c r="C13" s="172"/>
      <c r="D13" s="185"/>
      <c r="E13" s="184"/>
      <c r="F13" s="24"/>
      <c r="G13" s="24"/>
      <c r="H13" s="256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171"/>
      <c r="T13" s="188"/>
      <c r="U13" s="18"/>
      <c r="V13" s="152"/>
      <c r="W13" s="110"/>
      <c r="X13" s="110"/>
      <c r="Y13" s="128"/>
      <c r="Z13" s="110"/>
      <c r="AA13" s="109"/>
      <c r="AB13" s="109"/>
      <c r="AC13" s="109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</row>
    <row r="14" spans="1:42" s="22" customFormat="1" x14ac:dyDescent="0.2">
      <c r="A14" s="172" t="s">
        <v>238</v>
      </c>
      <c r="B14" s="145"/>
      <c r="C14" s="145"/>
      <c r="D14" s="12"/>
      <c r="E14" s="184"/>
      <c r="F14" s="88"/>
      <c r="G14" s="90"/>
      <c r="H14" s="201"/>
      <c r="I14" s="90"/>
      <c r="J14" s="90"/>
      <c r="K14" s="90"/>
      <c r="L14" s="90"/>
      <c r="M14" s="90"/>
      <c r="N14" s="90"/>
      <c r="O14" s="90"/>
      <c r="P14" s="90"/>
      <c r="Q14" s="90"/>
      <c r="R14" s="88"/>
      <c r="S14" s="171"/>
      <c r="T14" s="188"/>
      <c r="U14" s="89"/>
      <c r="V14" s="152"/>
      <c r="W14" s="233">
        <v>0</v>
      </c>
      <c r="X14" s="100"/>
      <c r="Y14" s="128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</row>
    <row r="15" spans="1:42" s="449" customFormat="1" x14ac:dyDescent="0.2">
      <c r="A15" s="434" t="s">
        <v>845</v>
      </c>
      <c r="B15" s="434" t="s">
        <v>846</v>
      </c>
      <c r="C15" s="434" t="s">
        <v>847</v>
      </c>
      <c r="D15" s="435">
        <v>3</v>
      </c>
      <c r="E15" s="436">
        <v>0.33329999999999999</v>
      </c>
      <c r="F15" s="437">
        <v>42185</v>
      </c>
      <c r="G15" s="438">
        <v>36</v>
      </c>
      <c r="H15" s="439">
        <f t="shared" ref="H15" si="0">100/G15</f>
        <v>2.7777777777777777</v>
      </c>
      <c r="I15" s="440">
        <f t="shared" ref="I15" si="1">H15*J15</f>
        <v>0</v>
      </c>
      <c r="J15" s="438">
        <v>0</v>
      </c>
      <c r="K15" s="440">
        <f>L15*H15</f>
        <v>100</v>
      </c>
      <c r="L15" s="438">
        <f>G15-J15</f>
        <v>36</v>
      </c>
      <c r="M15" s="440">
        <f>N15*H15</f>
        <v>2.7777777777777777</v>
      </c>
      <c r="N15" s="438">
        <v>1</v>
      </c>
      <c r="O15" s="440">
        <f t="shared" ref="O15:Q15" si="2">K15-M15</f>
        <v>97.222222222222229</v>
      </c>
      <c r="P15" s="438">
        <f t="shared" si="2"/>
        <v>35</v>
      </c>
      <c r="Q15" s="438">
        <f t="shared" si="2"/>
        <v>-94.444444444444457</v>
      </c>
      <c r="R15" s="438" t="s">
        <v>842</v>
      </c>
      <c r="S15" s="441">
        <v>42339</v>
      </c>
      <c r="T15" s="442">
        <v>1499.01</v>
      </c>
      <c r="U15" s="443">
        <v>0</v>
      </c>
      <c r="V15" s="444">
        <v>0</v>
      </c>
      <c r="W15" s="440">
        <v>0</v>
      </c>
      <c r="X15" s="445">
        <v>115.958</v>
      </c>
      <c r="Y15" s="446">
        <v>118.532</v>
      </c>
      <c r="Z15" s="445">
        <f>X15/Y15</f>
        <v>0.97828434515573859</v>
      </c>
      <c r="AA15" s="447">
        <f>T15*M15/100/K15*100/1</f>
        <v>41.639166666666661</v>
      </c>
      <c r="AB15" s="447">
        <f>AA15*Z15</f>
        <v>40.734944895330649</v>
      </c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>
        <v>40.729999999999997</v>
      </c>
      <c r="AO15" s="447">
        <f>SUM(AC15:AN15)</f>
        <v>40.729999999999997</v>
      </c>
      <c r="AP15" s="448">
        <f>T15-AO15</f>
        <v>1458.28</v>
      </c>
    </row>
    <row r="16" spans="1:42" s="22" customFormat="1" x14ac:dyDescent="0.2">
      <c r="A16" s="172" t="s">
        <v>68</v>
      </c>
      <c r="B16" s="172"/>
      <c r="C16" s="87"/>
      <c r="D16" s="42"/>
      <c r="E16" s="38"/>
      <c r="F16" s="88"/>
      <c r="G16" s="24"/>
      <c r="H16" s="201"/>
      <c r="I16" s="90"/>
      <c r="J16" s="90"/>
      <c r="K16" s="90"/>
      <c r="L16" s="90"/>
      <c r="M16" s="90"/>
      <c r="N16" s="90"/>
      <c r="O16" s="90"/>
      <c r="P16" s="90"/>
      <c r="Q16" s="90"/>
      <c r="R16" s="29"/>
      <c r="S16" s="29"/>
      <c r="T16" s="18"/>
      <c r="U16" s="110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16"/>
      <c r="AL16" s="116"/>
      <c r="AM16" s="116"/>
      <c r="AN16" s="116"/>
      <c r="AO16" s="116"/>
      <c r="AP16" s="116"/>
    </row>
    <row r="17" spans="1:42" s="22" customFormat="1" x14ac:dyDescent="0.2">
      <c r="A17" s="172" t="s">
        <v>114</v>
      </c>
      <c r="B17" s="145"/>
      <c r="C17" s="87"/>
      <c r="D17" s="8"/>
      <c r="E17" s="38"/>
      <c r="F17" s="24"/>
      <c r="G17" s="24"/>
      <c r="H17" s="256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10"/>
      <c r="V17" s="109"/>
      <c r="W17" s="109"/>
      <c r="X17" s="109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16"/>
      <c r="AL17" s="116"/>
      <c r="AM17" s="116"/>
      <c r="AN17" s="116"/>
      <c r="AO17" s="116"/>
      <c r="AP17" s="116"/>
    </row>
    <row r="18" spans="1:42" s="449" customFormat="1" x14ac:dyDescent="0.2">
      <c r="A18" s="434" t="s">
        <v>870</v>
      </c>
      <c r="B18" s="434" t="s">
        <v>860</v>
      </c>
      <c r="C18" s="450" t="s">
        <v>847</v>
      </c>
      <c r="D18" s="435">
        <v>10</v>
      </c>
      <c r="E18" s="451">
        <v>0.1</v>
      </c>
      <c r="F18" s="437">
        <v>42344</v>
      </c>
      <c r="G18" s="438">
        <v>120</v>
      </c>
      <c r="H18" s="439">
        <f>100/G18</f>
        <v>0.83333333333333337</v>
      </c>
      <c r="I18" s="440">
        <f>H18*J18</f>
        <v>0</v>
      </c>
      <c r="J18" s="438">
        <v>0</v>
      </c>
      <c r="K18" s="440">
        <f>L18*H18</f>
        <v>100</v>
      </c>
      <c r="L18" s="438">
        <f>G18-J18</f>
        <v>120</v>
      </c>
      <c r="M18" s="440">
        <f>N18*H18</f>
        <v>0.83333333333333337</v>
      </c>
      <c r="N18" s="438">
        <v>1</v>
      </c>
      <c r="O18" s="440">
        <f>P18*H18</f>
        <v>99.166666666666671</v>
      </c>
      <c r="P18" s="438">
        <f t="shared" ref="P18" si="3">L18-N18</f>
        <v>119</v>
      </c>
      <c r="Q18" s="438">
        <v>0</v>
      </c>
      <c r="R18" s="438">
        <v>3336</v>
      </c>
      <c r="S18" s="437">
        <v>42344</v>
      </c>
      <c r="T18" s="443">
        <v>734</v>
      </c>
      <c r="U18" s="445">
        <v>0</v>
      </c>
      <c r="V18" s="447">
        <v>0</v>
      </c>
      <c r="W18" s="447">
        <v>118.051</v>
      </c>
      <c r="X18" s="445">
        <v>115.958</v>
      </c>
      <c r="Y18" s="447">
        <v>118.532</v>
      </c>
      <c r="Z18" s="447">
        <f>X18/Y18</f>
        <v>0.97828434515573859</v>
      </c>
      <c r="AA18" s="447">
        <f>T18*H18/100</f>
        <v>6.1166666666666671</v>
      </c>
      <c r="AB18" s="447">
        <f>AA18*Z18</f>
        <v>5.9838392445359352</v>
      </c>
      <c r="AC18" s="447"/>
      <c r="AD18" s="447"/>
      <c r="AE18" s="447"/>
      <c r="AF18" s="447"/>
      <c r="AG18" s="447"/>
      <c r="AH18" s="447"/>
      <c r="AI18" s="447"/>
      <c r="AJ18" s="447"/>
      <c r="AK18" s="448"/>
      <c r="AL18" s="448">
        <v>0</v>
      </c>
      <c r="AM18" s="448">
        <v>0</v>
      </c>
      <c r="AN18" s="447">
        <v>0</v>
      </c>
      <c r="AO18" s="447"/>
      <c r="AP18" s="448">
        <f>T18</f>
        <v>734</v>
      </c>
    </row>
    <row r="19" spans="1:42" x14ac:dyDescent="0.2">
      <c r="R19" s="243"/>
      <c r="V19" s="336"/>
      <c r="AB19" s="263"/>
      <c r="AH19" s="263">
        <f>SUM(AH13:AH15)</f>
        <v>0</v>
      </c>
      <c r="AI19" s="263"/>
      <c r="AJ19" s="263"/>
      <c r="AK19" s="263"/>
      <c r="AL19" s="263"/>
      <c r="AM19" s="263"/>
      <c r="AN19" s="263">
        <f t="shared" ref="AN19:AO19" si="4">SUM(AN13:AN18)</f>
        <v>40.729999999999997</v>
      </c>
      <c r="AO19" s="263">
        <f t="shared" si="4"/>
        <v>40.729999999999997</v>
      </c>
      <c r="AP19" s="263">
        <f>SUM(AP13:AP18)</f>
        <v>2192.2799999999997</v>
      </c>
    </row>
    <row r="20" spans="1:42" s="150" customFormat="1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W20"/>
      <c r="X20"/>
      <c r="Y20" s="121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13"/>
    </row>
    <row r="21" spans="1:42" s="150" customFormat="1" x14ac:dyDescent="0.2">
      <c r="A21" s="14"/>
      <c r="B21"/>
      <c r="C21"/>
      <c r="D21" s="27"/>
      <c r="E21" s="27"/>
      <c r="F21"/>
      <c r="G21"/>
      <c r="H21"/>
      <c r="I21"/>
      <c r="J21"/>
      <c r="K21"/>
      <c r="L21"/>
      <c r="M21"/>
      <c r="N21"/>
      <c r="O21"/>
      <c r="P21"/>
      <c r="Q21"/>
      <c r="R21" s="28"/>
      <c r="S21" s="28"/>
      <c r="T21" s="16"/>
      <c r="U21" s="16"/>
      <c r="W21"/>
      <c r="X21"/>
      <c r="Y21" s="1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 s="113"/>
    </row>
    <row r="22" spans="1:42" ht="30.75" hidden="1" customHeight="1" x14ac:dyDescent="0.2">
      <c r="A22" s="568" t="s">
        <v>613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1:42" hidden="1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</row>
    <row r="24" spans="1:42" x14ac:dyDescent="0.2">
      <c r="AA24" s="16"/>
      <c r="AO24" s="150"/>
    </row>
  </sheetData>
  <mergeCells count="25"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22:X2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24"/>
  <sheetViews>
    <sheetView workbookViewId="0">
      <selection activeCell="B27" sqref="B27"/>
    </sheetView>
  </sheetViews>
  <sheetFormatPr baseColWidth="10" defaultRowHeight="12.75" x14ac:dyDescent="0.2"/>
  <cols>
    <col min="1" max="1" width="16.42578125" customWidth="1"/>
    <col min="2" max="2" width="20.7109375" customWidth="1"/>
    <col min="3" max="3" width="16.42578125" customWidth="1"/>
    <col min="4" max="4" width="7.28515625" customWidth="1"/>
    <col min="5" max="5" width="8.28515625" customWidth="1"/>
    <col min="8" max="8" width="9.7109375" customWidth="1"/>
    <col min="9" max="10" width="10" customWidth="1"/>
    <col min="12" max="12" width="9.5703125" customWidth="1"/>
    <col min="17" max="17" width="9" customWidth="1"/>
    <col min="18" max="18" width="11.28515625" customWidth="1"/>
    <col min="21" max="21" width="10.28515625" customWidth="1"/>
    <col min="22" max="22" width="9.42578125" customWidth="1"/>
    <col min="23" max="23" width="10" customWidth="1"/>
    <col min="24" max="24" width="8.42578125" customWidth="1"/>
    <col min="25" max="25" width="8" customWidth="1"/>
    <col min="29" max="39" width="0" hidden="1" customWidth="1"/>
    <col min="41" max="41" width="8" customWidth="1"/>
    <col min="42" max="42" width="9.85546875" customWidth="1"/>
    <col min="43" max="44" width="11.42578125" style="22"/>
  </cols>
  <sheetData>
    <row r="1" spans="1:44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/>
      <c r="AO1" s="137"/>
      <c r="AP1" s="141"/>
    </row>
    <row r="2" spans="1:44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4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4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4" x14ac:dyDescent="0.2">
      <c r="A5" s="137"/>
      <c r="B5" s="144" t="s">
        <v>872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4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4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4" x14ac:dyDescent="0.2">
      <c r="A8" s="22"/>
      <c r="B8" s="22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112"/>
    </row>
    <row r="9" spans="1:44" x14ac:dyDescent="0.2">
      <c r="A9" s="22"/>
      <c r="B9" s="22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12"/>
    </row>
    <row r="10" spans="1:44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4" ht="51" x14ac:dyDescent="0.25">
      <c r="A11" s="552" t="s">
        <v>60</v>
      </c>
      <c r="B11" s="552" t="s">
        <v>0</v>
      </c>
      <c r="C11" s="42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23" t="s">
        <v>680</v>
      </c>
      <c r="O11" s="556" t="s">
        <v>643</v>
      </c>
      <c r="P11" s="42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4" ht="25.5" x14ac:dyDescent="0.25">
      <c r="A12" s="553"/>
      <c r="B12" s="553"/>
      <c r="C12" s="229" t="s">
        <v>847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4" s="22" customFormat="1" x14ac:dyDescent="0.2">
      <c r="A13" s="172" t="s">
        <v>74</v>
      </c>
      <c r="B13" s="172"/>
      <c r="C13" s="87"/>
      <c r="D13" s="42"/>
      <c r="E13" s="38"/>
      <c r="F13" s="88"/>
      <c r="G13" s="24"/>
      <c r="H13" s="201"/>
      <c r="I13" s="233"/>
      <c r="J13" s="90"/>
      <c r="K13" s="233"/>
      <c r="L13" s="90"/>
      <c r="M13" s="233"/>
      <c r="N13" s="90"/>
      <c r="O13" s="233"/>
      <c r="P13" s="90"/>
      <c r="Q13" s="90"/>
      <c r="R13" s="29"/>
      <c r="S13" s="29"/>
      <c r="T13" s="18"/>
      <c r="U13" s="18"/>
      <c r="V13" s="154"/>
      <c r="W13" s="110"/>
      <c r="X13" s="110"/>
      <c r="Y13" s="237"/>
      <c r="Z13" s="10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</row>
    <row r="14" spans="1:44" s="22" customFormat="1" x14ac:dyDescent="0.2">
      <c r="A14" s="172" t="s">
        <v>80</v>
      </c>
      <c r="B14" s="46"/>
      <c r="C14" s="87"/>
      <c r="D14" s="8"/>
      <c r="E14" s="38"/>
      <c r="F14" s="88"/>
      <c r="G14" s="24"/>
      <c r="H14" s="201"/>
      <c r="I14" s="233"/>
      <c r="J14" s="90"/>
      <c r="K14" s="233"/>
      <c r="L14" s="90"/>
      <c r="M14" s="233"/>
      <c r="N14" s="90"/>
      <c r="O14" s="233"/>
      <c r="P14" s="90"/>
      <c r="Q14" s="90"/>
      <c r="R14" s="29"/>
      <c r="S14" s="29"/>
      <c r="T14" s="18"/>
      <c r="U14" s="18"/>
      <c r="V14" s="154"/>
      <c r="W14" s="110"/>
      <c r="X14" s="110"/>
      <c r="Y14" s="237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</row>
    <row r="15" spans="1:44" s="449" customFormat="1" x14ac:dyDescent="0.2">
      <c r="A15" s="434" t="s">
        <v>886</v>
      </c>
      <c r="B15" s="434" t="s">
        <v>890</v>
      </c>
      <c r="C15" s="450" t="s">
        <v>887</v>
      </c>
      <c r="D15" s="435">
        <v>10</v>
      </c>
      <c r="E15" s="451">
        <v>0.1</v>
      </c>
      <c r="F15" s="437">
        <v>42333</v>
      </c>
      <c r="G15" s="438">
        <v>120</v>
      </c>
      <c r="H15" s="439">
        <f t="shared" ref="H15" si="0">100/G15</f>
        <v>0.83333333333333337</v>
      </c>
      <c r="I15" s="440">
        <f t="shared" ref="I15" si="1">H15*J15</f>
        <v>0</v>
      </c>
      <c r="J15" s="438">
        <f>(YEAR(F15)-YEAR(S15))*12+MONTH(F15)-MONTH(S15)</f>
        <v>0</v>
      </c>
      <c r="K15" s="440">
        <f t="shared" ref="K15" si="2">L15*H15</f>
        <v>100</v>
      </c>
      <c r="L15" s="438">
        <f t="shared" ref="L15" si="3">G15-J15</f>
        <v>120</v>
      </c>
      <c r="M15" s="440">
        <f t="shared" ref="M15" si="4">N15*H15</f>
        <v>0.83333333333333337</v>
      </c>
      <c r="N15" s="438">
        <v>1</v>
      </c>
      <c r="O15" s="440">
        <f t="shared" ref="O15" si="5">P15*H15</f>
        <v>99.166666666666671</v>
      </c>
      <c r="P15" s="438">
        <f t="shared" ref="P15" si="6">L15-N15</f>
        <v>119</v>
      </c>
      <c r="Q15" s="438"/>
      <c r="R15" s="437" t="s">
        <v>888</v>
      </c>
      <c r="S15" s="437">
        <v>42333</v>
      </c>
      <c r="T15" s="443">
        <v>1543.16</v>
      </c>
      <c r="U15" s="443">
        <v>0</v>
      </c>
      <c r="V15" s="444">
        <v>0</v>
      </c>
      <c r="W15" s="440">
        <v>0</v>
      </c>
      <c r="X15" s="445">
        <v>115.958</v>
      </c>
      <c r="Y15" s="452">
        <v>118.051</v>
      </c>
      <c r="Z15" s="445">
        <f t="shared" ref="Z15" si="7">X15/Y15</f>
        <v>0.98227037466857536</v>
      </c>
      <c r="AA15" s="447">
        <f>H15*T15/100</f>
        <v>12.859666666666667</v>
      </c>
      <c r="AB15" s="447">
        <f t="shared" ref="AB15" si="8">AA15*Z15</f>
        <v>12.631669594779657</v>
      </c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>
        <f>AB15</f>
        <v>12.631669594779657</v>
      </c>
      <c r="AO15" s="447">
        <f t="shared" ref="AO15" si="9">SUM(AC15:AN15)+V15</f>
        <v>12.631669594779657</v>
      </c>
      <c r="AP15" s="448">
        <f>T15-AO15</f>
        <v>1530.5283304052205</v>
      </c>
      <c r="AQ15" s="22"/>
      <c r="AR15" s="22"/>
    </row>
    <row r="16" spans="1:44" x14ac:dyDescent="0.2">
      <c r="A16" s="172" t="s">
        <v>68</v>
      </c>
      <c r="B16" s="172"/>
      <c r="C16" s="87"/>
      <c r="D16" s="42"/>
      <c r="E16" s="38"/>
      <c r="F16" s="88"/>
      <c r="G16" s="24"/>
      <c r="H16" s="201"/>
      <c r="I16" s="90"/>
      <c r="J16" s="90"/>
      <c r="K16" s="90"/>
      <c r="L16" s="90"/>
      <c r="M16" s="90"/>
      <c r="N16" s="90"/>
      <c r="O16" s="90"/>
      <c r="P16" s="90"/>
      <c r="Q16" s="90"/>
      <c r="R16" s="29"/>
      <c r="S16" s="29"/>
      <c r="T16" s="18"/>
      <c r="U16" s="110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16"/>
      <c r="AL16" s="116"/>
      <c r="AM16" s="116"/>
      <c r="AN16" s="116"/>
      <c r="AO16" s="116"/>
      <c r="AP16" s="116"/>
    </row>
    <row r="17" spans="1:42" x14ac:dyDescent="0.2">
      <c r="A17" s="172" t="s">
        <v>114</v>
      </c>
      <c r="B17" s="145"/>
      <c r="C17" s="87"/>
      <c r="D17" s="8"/>
      <c r="E17" s="38"/>
      <c r="F17" s="24"/>
      <c r="G17" s="24"/>
      <c r="H17" s="256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10"/>
      <c r="V17" s="109"/>
      <c r="W17" s="109"/>
      <c r="X17" s="109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16"/>
      <c r="AL17" s="116"/>
      <c r="AM17" s="116"/>
      <c r="AN17" s="116"/>
      <c r="AO17" s="116"/>
      <c r="AP17" s="116"/>
    </row>
    <row r="18" spans="1:42" x14ac:dyDescent="0.2">
      <c r="A18" s="434" t="s">
        <v>873</v>
      </c>
      <c r="B18" s="434" t="s">
        <v>860</v>
      </c>
      <c r="C18" s="450" t="s">
        <v>872</v>
      </c>
      <c r="D18" s="435">
        <v>10</v>
      </c>
      <c r="E18" s="451">
        <v>0.1</v>
      </c>
      <c r="F18" s="437">
        <v>42344</v>
      </c>
      <c r="G18" s="438">
        <v>120</v>
      </c>
      <c r="H18" s="439">
        <f>100/G18</f>
        <v>0.83333333333333337</v>
      </c>
      <c r="I18" s="440">
        <f>H18*J18</f>
        <v>0</v>
      </c>
      <c r="J18" s="438">
        <v>0</v>
      </c>
      <c r="K18" s="440">
        <f>L18*H18</f>
        <v>100</v>
      </c>
      <c r="L18" s="438">
        <f>G18-J18</f>
        <v>120</v>
      </c>
      <c r="M18" s="440">
        <f>N18*H18</f>
        <v>0.83333333333333337</v>
      </c>
      <c r="N18" s="438">
        <v>1</v>
      </c>
      <c r="O18" s="440">
        <f>P18*H18</f>
        <v>99.166666666666671</v>
      </c>
      <c r="P18" s="438">
        <f t="shared" ref="P18" si="10">L18-N18</f>
        <v>119</v>
      </c>
      <c r="Q18" s="438">
        <v>0</v>
      </c>
      <c r="R18" s="438">
        <v>3337</v>
      </c>
      <c r="S18" s="437">
        <v>42344</v>
      </c>
      <c r="T18" s="443">
        <v>734</v>
      </c>
      <c r="U18" s="445">
        <v>0</v>
      </c>
      <c r="V18" s="447">
        <v>0</v>
      </c>
      <c r="W18" s="447">
        <v>0</v>
      </c>
      <c r="X18" s="445">
        <v>115.958</v>
      </c>
      <c r="Y18" s="447">
        <v>118.532</v>
      </c>
      <c r="Z18" s="447">
        <f>X18/Y18</f>
        <v>0.97828434515573859</v>
      </c>
      <c r="AA18" s="447">
        <f>T18*H18/100</f>
        <v>6.1166666666666671</v>
      </c>
      <c r="AB18" s="447">
        <f>AA18*Z18</f>
        <v>5.9838392445359352</v>
      </c>
      <c r="AC18" s="447"/>
      <c r="AD18" s="447"/>
      <c r="AE18" s="447"/>
      <c r="AF18" s="447"/>
      <c r="AG18" s="447"/>
      <c r="AH18" s="447"/>
      <c r="AI18" s="447"/>
      <c r="AJ18" s="447"/>
      <c r="AK18" s="448"/>
      <c r="AL18" s="448">
        <v>0</v>
      </c>
      <c r="AM18" s="448">
        <v>0</v>
      </c>
      <c r="AN18" s="447">
        <v>0</v>
      </c>
      <c r="AO18" s="447"/>
      <c r="AP18" s="448">
        <f>T18</f>
        <v>734</v>
      </c>
    </row>
    <row r="19" spans="1:42" x14ac:dyDescent="0.2">
      <c r="D19" s="27"/>
      <c r="E19" s="27"/>
      <c r="R19" s="243"/>
      <c r="S19" s="28"/>
      <c r="T19" s="16"/>
      <c r="U19" s="16"/>
      <c r="V19" s="336"/>
      <c r="Y19" s="121"/>
      <c r="AB19" s="263"/>
      <c r="AH19" s="263" t="e">
        <f>SUM(#REF!)</f>
        <v>#REF!</v>
      </c>
      <c r="AI19" s="263"/>
      <c r="AJ19" s="263"/>
      <c r="AK19" s="263"/>
      <c r="AL19" s="263"/>
      <c r="AM19" s="263"/>
      <c r="AN19" s="263">
        <f t="shared" ref="AN19:AO19" si="11">SUM(AN15:AN18)</f>
        <v>12.631669594779657</v>
      </c>
      <c r="AO19" s="263">
        <f t="shared" si="11"/>
        <v>12.631669594779657</v>
      </c>
      <c r="AP19" s="263">
        <f>SUM(AP15:AP18)</f>
        <v>2264.5283304052205</v>
      </c>
    </row>
    <row r="20" spans="1:42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V20" s="150"/>
      <c r="Y20" s="121"/>
      <c r="AP20" s="113"/>
    </row>
    <row r="21" spans="1:42" x14ac:dyDescent="0.2">
      <c r="A21" s="14"/>
      <c r="D21" s="27"/>
      <c r="E21" s="27"/>
      <c r="R21" s="28"/>
      <c r="S21" s="28"/>
      <c r="T21" s="16"/>
      <c r="U21" s="16"/>
      <c r="V21" s="150"/>
      <c r="Y21" s="121"/>
      <c r="AP21" s="113"/>
    </row>
    <row r="22" spans="1:42" x14ac:dyDescent="0.2">
      <c r="A22" s="560"/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1:42" x14ac:dyDescent="0.2">
      <c r="A23" s="560"/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121"/>
      <c r="AP23" s="113"/>
    </row>
    <row r="24" spans="1:42" x14ac:dyDescent="0.2">
      <c r="D24" s="27"/>
      <c r="E24" s="27"/>
      <c r="R24" s="28"/>
      <c r="S24" s="28"/>
      <c r="T24" s="16"/>
      <c r="U24" s="16"/>
      <c r="V24" s="150"/>
      <c r="Y24" s="121"/>
      <c r="AA24" s="16"/>
      <c r="AO24" s="150"/>
      <c r="AP24" s="113"/>
    </row>
  </sheetData>
  <mergeCells count="25">
    <mergeCell ref="A22:X2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</mergeCells>
  <pageMargins left="0.59055118110236227" right="0.19685039370078741" top="0.39370078740157483" bottom="0.39370078740157483" header="0.31496062992125984" footer="0.31496062992125984"/>
  <pageSetup paperSize="5" scale="50" orientation="landscape" r:id="rId1"/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19"/>
  <sheetViews>
    <sheetView workbookViewId="0"/>
  </sheetViews>
  <sheetFormatPr baseColWidth="10" defaultRowHeight="12.75" x14ac:dyDescent="0.2"/>
  <cols>
    <col min="1" max="1" width="22.42578125" customWidth="1"/>
    <col min="2" max="2" width="20" customWidth="1"/>
    <col min="3" max="3" width="19.7109375" customWidth="1"/>
    <col min="4" max="4" width="7.5703125" customWidth="1"/>
    <col min="5" max="5" width="6.7109375" customWidth="1"/>
    <col min="6" max="6" width="8.7109375" bestFit="1" customWidth="1"/>
    <col min="11" max="11" width="10.42578125" customWidth="1"/>
    <col min="17" max="17" width="9.5703125" customWidth="1"/>
    <col min="18" max="18" width="9.42578125" customWidth="1"/>
    <col min="19" max="19" width="10.42578125" customWidth="1"/>
    <col min="20" max="20" width="8.42578125" customWidth="1"/>
    <col min="21" max="21" width="9.28515625" customWidth="1"/>
    <col min="22" max="23" width="9.5703125" customWidth="1"/>
    <col min="24" max="24" width="9.140625" customWidth="1"/>
    <col min="25" max="25" width="9.42578125" customWidth="1"/>
    <col min="26" max="26" width="8.140625" customWidth="1"/>
    <col min="29" max="39" width="0" hidden="1" customWidth="1"/>
    <col min="40" max="40" width="7.42578125" customWidth="1"/>
    <col min="41" max="41" width="9.85546875" customWidth="1"/>
  </cols>
  <sheetData>
    <row r="1" spans="1:42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/>
      <c r="AO1" s="137"/>
      <c r="AP1" s="141"/>
    </row>
    <row r="2" spans="1:42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2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2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2" x14ac:dyDescent="0.2">
      <c r="A5" s="137"/>
      <c r="B5" s="144" t="s">
        <v>874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2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2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2" x14ac:dyDescent="0.2">
      <c r="A8" s="22"/>
      <c r="B8" s="22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112"/>
    </row>
    <row r="9" spans="1:42" x14ac:dyDescent="0.2">
      <c r="A9" s="22"/>
      <c r="B9" s="22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12"/>
    </row>
    <row r="10" spans="1:42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ht="51" x14ac:dyDescent="0.25">
      <c r="A11" s="552" t="s">
        <v>60</v>
      </c>
      <c r="B11" s="552" t="s">
        <v>0</v>
      </c>
      <c r="C11" s="42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23" t="s">
        <v>680</v>
      </c>
      <c r="O11" s="556" t="s">
        <v>643</v>
      </c>
      <c r="P11" s="42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2" ht="25.5" x14ac:dyDescent="0.25">
      <c r="A12" s="553"/>
      <c r="B12" s="553"/>
      <c r="C12" s="229" t="s">
        <v>847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2" x14ac:dyDescent="0.2">
      <c r="A13" s="172" t="s">
        <v>68</v>
      </c>
      <c r="B13" s="172"/>
      <c r="C13" s="87"/>
      <c r="D13" s="42"/>
      <c r="E13" s="38"/>
      <c r="F13" s="88"/>
      <c r="G13" s="24"/>
      <c r="H13" s="201"/>
      <c r="I13" s="90"/>
      <c r="J13" s="90"/>
      <c r="K13" s="90"/>
      <c r="L13" s="90"/>
      <c r="M13" s="90"/>
      <c r="N13" s="90"/>
      <c r="O13" s="90"/>
      <c r="P13" s="90"/>
      <c r="Q13" s="90"/>
      <c r="R13" s="29"/>
      <c r="S13" s="29"/>
      <c r="T13" s="18"/>
      <c r="U13" s="110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116"/>
      <c r="AL13" s="116"/>
      <c r="AM13" s="116"/>
      <c r="AN13" s="116"/>
      <c r="AO13" s="116"/>
      <c r="AP13" s="116"/>
    </row>
    <row r="14" spans="1:42" x14ac:dyDescent="0.2">
      <c r="A14" s="172" t="s">
        <v>114</v>
      </c>
      <c r="B14" s="145"/>
      <c r="C14" s="87"/>
      <c r="D14" s="8"/>
      <c r="E14" s="38"/>
      <c r="F14" s="24"/>
      <c r="G14" s="24"/>
      <c r="H14" s="256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10"/>
      <c r="V14" s="109"/>
      <c r="W14" s="109"/>
      <c r="X14" s="109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116"/>
      <c r="AL14" s="116"/>
      <c r="AM14" s="116"/>
      <c r="AN14" s="116"/>
      <c r="AO14" s="116"/>
      <c r="AP14" s="116"/>
    </row>
    <row r="15" spans="1:42" x14ac:dyDescent="0.2">
      <c r="A15" s="434" t="s">
        <v>875</v>
      </c>
      <c r="B15" s="434" t="s">
        <v>871</v>
      </c>
      <c r="C15" s="450" t="s">
        <v>874</v>
      </c>
      <c r="D15" s="435">
        <v>10</v>
      </c>
      <c r="E15" s="451">
        <v>0.1</v>
      </c>
      <c r="F15" s="437">
        <v>42344</v>
      </c>
      <c r="G15" s="438">
        <v>120</v>
      </c>
      <c r="H15" s="439">
        <f>100/G15</f>
        <v>0.83333333333333337</v>
      </c>
      <c r="I15" s="440">
        <f>H15*J15</f>
        <v>0</v>
      </c>
      <c r="J15" s="438">
        <v>0</v>
      </c>
      <c r="K15" s="440">
        <f>L15*H15</f>
        <v>100</v>
      </c>
      <c r="L15" s="438">
        <f>G15-J15</f>
        <v>120</v>
      </c>
      <c r="M15" s="440">
        <f>N15*H15</f>
        <v>0.83333333333333337</v>
      </c>
      <c r="N15" s="438">
        <v>1</v>
      </c>
      <c r="O15" s="440">
        <f>P15*H15</f>
        <v>99.166666666666671</v>
      </c>
      <c r="P15" s="438">
        <f t="shared" ref="P15" si="0">L15-N15</f>
        <v>119</v>
      </c>
      <c r="Q15" s="438">
        <v>0</v>
      </c>
      <c r="R15" s="438">
        <v>3337</v>
      </c>
      <c r="S15" s="437">
        <v>42344</v>
      </c>
      <c r="T15" s="443">
        <f>2*734</f>
        <v>1468</v>
      </c>
      <c r="U15" s="445">
        <v>0</v>
      </c>
      <c r="V15" s="447">
        <v>0</v>
      </c>
      <c r="W15" s="447">
        <v>0</v>
      </c>
      <c r="X15" s="445">
        <v>115.958</v>
      </c>
      <c r="Y15" s="447">
        <v>118.532</v>
      </c>
      <c r="Z15" s="447">
        <f>X15/Y15</f>
        <v>0.97828434515573859</v>
      </c>
      <c r="AA15" s="447">
        <f>T15*H15/100</f>
        <v>12.233333333333334</v>
      </c>
      <c r="AB15" s="447">
        <f>AA15*Z15</f>
        <v>11.96767848907187</v>
      </c>
      <c r="AC15" s="447"/>
      <c r="AD15" s="447"/>
      <c r="AE15" s="447"/>
      <c r="AF15" s="447"/>
      <c r="AG15" s="447"/>
      <c r="AH15" s="447"/>
      <c r="AI15" s="447"/>
      <c r="AJ15" s="447"/>
      <c r="AK15" s="448"/>
      <c r="AL15" s="448">
        <v>0</v>
      </c>
      <c r="AM15" s="448">
        <v>0</v>
      </c>
      <c r="AN15" s="447">
        <v>0</v>
      </c>
      <c r="AO15" s="447"/>
      <c r="AP15" s="448">
        <f>T15</f>
        <v>1468</v>
      </c>
    </row>
    <row r="16" spans="1:42" x14ac:dyDescent="0.2">
      <c r="D16" s="27"/>
      <c r="E16" s="27"/>
      <c r="R16" s="243"/>
      <c r="S16" s="28"/>
      <c r="T16" s="16"/>
      <c r="U16" s="16"/>
      <c r="V16" s="336"/>
      <c r="Y16" s="121"/>
      <c r="AB16" s="263"/>
      <c r="AH16" s="263" t="e">
        <f>SUM(#REF!)</f>
        <v>#REF!</v>
      </c>
      <c r="AI16" s="263"/>
      <c r="AJ16" s="263"/>
      <c r="AK16" s="263"/>
      <c r="AL16" s="263"/>
      <c r="AM16" s="263"/>
      <c r="AN16" s="263">
        <f t="shared" ref="AN16:AO16" si="1">SUM(AN14:AN15)</f>
        <v>0</v>
      </c>
      <c r="AO16" s="263">
        <f t="shared" si="1"/>
        <v>0</v>
      </c>
      <c r="AP16" s="263">
        <f>SUM(AP14:AP15)</f>
        <v>1468</v>
      </c>
    </row>
    <row r="17" spans="1:42" x14ac:dyDescent="0.2">
      <c r="A17" s="156" t="s">
        <v>460</v>
      </c>
      <c r="B17" s="132"/>
      <c r="C17" s="132"/>
      <c r="D17" s="133"/>
      <c r="E17" s="133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4"/>
      <c r="S17" s="134"/>
      <c r="T17" s="135"/>
      <c r="U17" s="135"/>
      <c r="V17" s="150"/>
      <c r="Y17" s="121"/>
      <c r="AP17" s="113"/>
    </row>
    <row r="18" spans="1:42" x14ac:dyDescent="0.2">
      <c r="A18" s="14"/>
      <c r="D18" s="27"/>
      <c r="E18" s="27"/>
      <c r="R18" s="28"/>
      <c r="S18" s="28"/>
      <c r="T18" s="16"/>
      <c r="U18" s="16"/>
      <c r="V18" s="150"/>
      <c r="Y18" s="121"/>
      <c r="AP18" s="113"/>
    </row>
    <row r="19" spans="1:42" x14ac:dyDescent="0.2">
      <c r="D19" s="27"/>
      <c r="E19" s="27"/>
      <c r="R19" s="28"/>
      <c r="S19" s="28"/>
      <c r="T19" s="16"/>
      <c r="U19" s="16"/>
      <c r="V19" s="150"/>
      <c r="Y19" s="121"/>
      <c r="AA19" s="16"/>
      <c r="AO19" s="150"/>
      <c r="AP19" s="113"/>
    </row>
  </sheetData>
  <mergeCells count="24">
    <mergeCell ref="T11:T12"/>
    <mergeCell ref="U11:U12"/>
    <mergeCell ref="V11:V12"/>
    <mergeCell ref="M11:M12"/>
    <mergeCell ref="O11:O12"/>
    <mergeCell ref="Q11:Q12"/>
    <mergeCell ref="R11:R12"/>
    <mergeCell ref="S11:S12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W11:W12"/>
    <mergeCell ref="J11:J12"/>
    <mergeCell ref="K11:K12"/>
    <mergeCell ref="L11:L12"/>
  </mergeCells>
  <pageMargins left="0.59055118110236227" right="0.19685039370078741" top="0.39370078740157483" bottom="0.39370078740157483" header="0.31496062992125984" footer="0.31496062992125984"/>
  <pageSetup paperSize="5" scale="50" orientation="landscape" r:id="rId1"/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80"/>
  <sheetViews>
    <sheetView topLeftCell="M41" zoomScale="130" zoomScaleNormal="130" workbookViewId="0">
      <selection activeCell="T75" sqref="T75"/>
    </sheetView>
  </sheetViews>
  <sheetFormatPr baseColWidth="10" defaultRowHeight="12.75" x14ac:dyDescent="0.2"/>
  <cols>
    <col min="1" max="1" width="16.28515625" customWidth="1"/>
    <col min="2" max="2" width="26.85546875" customWidth="1"/>
    <col min="3" max="3" width="17.42578125" bestFit="1" customWidth="1"/>
    <col min="4" max="4" width="9.28515625" customWidth="1"/>
    <col min="5" max="5" width="9" customWidth="1"/>
    <col min="6" max="7" width="9.28515625" customWidth="1"/>
    <col min="8" max="8" width="9.5703125" customWidth="1"/>
    <col min="9" max="9" width="9.42578125" customWidth="1"/>
    <col min="10" max="10" width="9.5703125" customWidth="1"/>
    <col min="11" max="11" width="10.140625" customWidth="1"/>
    <col min="12" max="16" width="11.42578125" customWidth="1"/>
    <col min="18" max="18" width="9.5703125" customWidth="1"/>
    <col min="19" max="19" width="9.140625" customWidth="1"/>
    <col min="20" max="20" width="11.140625" customWidth="1"/>
    <col min="21" max="21" width="10.140625" customWidth="1"/>
    <col min="22" max="22" width="8.7109375" customWidth="1"/>
    <col min="23" max="24" width="9.28515625" customWidth="1"/>
    <col min="25" max="25" width="9.85546875" customWidth="1"/>
    <col min="26" max="26" width="8.5703125" customWidth="1"/>
    <col min="27" max="27" width="9.28515625" customWidth="1"/>
    <col min="28" max="28" width="7.85546875" customWidth="1"/>
    <col min="29" max="29" width="10.140625" customWidth="1"/>
    <col min="30" max="30" width="9.85546875" customWidth="1"/>
    <col min="31" max="41" width="11.42578125" hidden="1" customWidth="1"/>
    <col min="42" max="42" width="11.85546875" bestFit="1" customWidth="1"/>
    <col min="43" max="43" width="10.85546875" customWidth="1"/>
    <col min="44" max="44" width="11.5703125" customWidth="1"/>
  </cols>
  <sheetData>
    <row r="1" spans="1:44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  <c r="AQ1" s="541"/>
      <c r="AR1" s="541"/>
    </row>
    <row r="2" spans="1:44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  <c r="AQ2" s="541"/>
      <c r="AR2" s="541"/>
    </row>
    <row r="3" spans="1:44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  <c r="AQ3" s="541"/>
      <c r="AR3" s="541"/>
    </row>
    <row r="4" spans="1:44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  <c r="AQ4" s="541"/>
      <c r="AR4" s="541"/>
    </row>
    <row r="5" spans="1:44" x14ac:dyDescent="0.2">
      <c r="A5" s="137"/>
      <c r="B5" s="144" t="s">
        <v>575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  <c r="AQ5" s="541"/>
      <c r="AR5" s="541"/>
    </row>
    <row r="6" spans="1:44" x14ac:dyDescent="0.2">
      <c r="A6" s="137"/>
      <c r="B6" s="137" t="s">
        <v>858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  <c r="AQ6" s="541"/>
      <c r="AR6" s="541"/>
    </row>
    <row r="7" spans="1:44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  <c r="AQ7" s="541"/>
      <c r="AR7" s="541"/>
    </row>
    <row r="8" spans="1:44" x14ac:dyDescent="0.2">
      <c r="A8" s="22"/>
      <c r="B8" s="22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112"/>
    </row>
    <row r="9" spans="1:44" x14ac:dyDescent="0.2">
      <c r="A9" s="22"/>
      <c r="B9" s="22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12"/>
    </row>
    <row r="10" spans="1:44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42"/>
      <c r="AR10" s="542"/>
    </row>
    <row r="11" spans="1:44" ht="49.5" customHeight="1" x14ac:dyDescent="0.25">
      <c r="A11" s="552" t="s">
        <v>60</v>
      </c>
      <c r="B11" s="552" t="s">
        <v>0</v>
      </c>
      <c r="C11" s="428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29" t="s">
        <v>680</v>
      </c>
      <c r="O11" s="556" t="s">
        <v>643</v>
      </c>
      <c r="P11" s="432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746</v>
      </c>
      <c r="V11" s="558" t="s">
        <v>747</v>
      </c>
      <c r="W11" s="430"/>
      <c r="X11" s="570" t="s">
        <v>720</v>
      </c>
      <c r="Y11" s="558" t="s">
        <v>750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4" ht="45" customHeight="1" x14ac:dyDescent="0.25">
      <c r="A12" s="553"/>
      <c r="B12" s="553"/>
      <c r="C12" s="229" t="s">
        <v>575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69"/>
      <c r="W12" s="431" t="s">
        <v>721</v>
      </c>
      <c r="X12" s="573"/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4" x14ac:dyDescent="0.2">
      <c r="A13" s="172" t="s">
        <v>68</v>
      </c>
      <c r="B13" s="172"/>
      <c r="C13" s="172"/>
      <c r="D13" s="157"/>
      <c r="E13" s="184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1"/>
      <c r="S13" s="171"/>
      <c r="T13" s="188"/>
      <c r="U13" s="18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17"/>
      <c r="AR13" s="117"/>
    </row>
    <row r="14" spans="1:44" x14ac:dyDescent="0.2">
      <c r="A14" s="172" t="s">
        <v>69</v>
      </c>
      <c r="B14" s="240"/>
      <c r="C14" s="172"/>
      <c r="D14" s="12"/>
      <c r="E14" s="184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1"/>
      <c r="S14" s="171"/>
      <c r="T14" s="188"/>
      <c r="U14" s="18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17"/>
      <c r="AR14" s="117"/>
    </row>
    <row r="15" spans="1:44" x14ac:dyDescent="0.2">
      <c r="A15" s="171" t="s">
        <v>949</v>
      </c>
      <c r="B15" s="145" t="s">
        <v>948</v>
      </c>
      <c r="C15" s="87" t="s">
        <v>575</v>
      </c>
      <c r="D15" s="101">
        <v>3</v>
      </c>
      <c r="E15" s="91">
        <v>0.33329999999999999</v>
      </c>
      <c r="F15" s="88">
        <v>42185</v>
      </c>
      <c r="G15" s="90">
        <f>D15*12</f>
        <v>36</v>
      </c>
      <c r="H15" s="201">
        <f>100/G15</f>
        <v>2.7777777777777777</v>
      </c>
      <c r="I15" s="233">
        <f>H15*J15</f>
        <v>47.222222222222221</v>
      </c>
      <c r="J15" s="90">
        <f>(YEAR(F15)-YEAR(S15))*12+MONTH(F15)-MONTH(S15)</f>
        <v>17</v>
      </c>
      <c r="K15" s="233">
        <f>L15*H15</f>
        <v>52.777777777777779</v>
      </c>
      <c r="L15" s="90">
        <f>G15-J15</f>
        <v>19</v>
      </c>
      <c r="M15" s="233">
        <f>N15*H15</f>
        <v>19.444444444444443</v>
      </c>
      <c r="N15" s="90">
        <v>7</v>
      </c>
      <c r="O15" s="233">
        <f t="shared" ref="O15:O22" si="0">P15*H15</f>
        <v>33.333333333333329</v>
      </c>
      <c r="P15" s="90">
        <f t="shared" ref="P15:P22" si="1">L15-N15</f>
        <v>12</v>
      </c>
      <c r="Q15" s="88">
        <v>42370</v>
      </c>
      <c r="R15" s="88" t="s">
        <v>595</v>
      </c>
      <c r="S15" s="88">
        <v>41640</v>
      </c>
      <c r="T15" s="89">
        <v>799</v>
      </c>
      <c r="U15" s="89">
        <f>T15*I15%</f>
        <v>377.30555555555554</v>
      </c>
      <c r="V15" s="152">
        <f>T15-U15</f>
        <v>421.69444444444446</v>
      </c>
      <c r="W15" s="233">
        <f>T15*H15%</f>
        <v>22.194444444444443</v>
      </c>
      <c r="X15" s="100">
        <f>W15*5</f>
        <v>110.97222222222221</v>
      </c>
      <c r="Y15" s="125">
        <f>V15-X15</f>
        <v>310.72222222222223</v>
      </c>
      <c r="Z15" s="100">
        <v>115.958</v>
      </c>
      <c r="AA15" s="472">
        <v>112.505</v>
      </c>
      <c r="AB15" s="98">
        <f>Z15/AA15</f>
        <v>1.0306919692458114</v>
      </c>
      <c r="AC15" s="98">
        <f>Y15*M15/100/K15*100/7</f>
        <v>16.353801169590643</v>
      </c>
      <c r="AD15" s="98">
        <f>AC15*AB15</f>
        <v>16.855731532139835</v>
      </c>
      <c r="AE15" s="98"/>
      <c r="AF15" s="98"/>
      <c r="AG15" s="98"/>
      <c r="AH15" s="98"/>
      <c r="AI15" s="98"/>
      <c r="AJ15" s="98">
        <f t="shared" ref="AJ15:AP15" si="2">$AD15</f>
        <v>16.855731532139835</v>
      </c>
      <c r="AK15" s="98">
        <f t="shared" si="2"/>
        <v>16.855731532139835</v>
      </c>
      <c r="AL15" s="98">
        <f t="shared" si="2"/>
        <v>16.855731532139835</v>
      </c>
      <c r="AM15" s="98">
        <f t="shared" si="2"/>
        <v>16.855731532139835</v>
      </c>
      <c r="AN15" s="98">
        <f t="shared" si="2"/>
        <v>16.855731532139835</v>
      </c>
      <c r="AO15" s="98">
        <f t="shared" si="2"/>
        <v>16.855731532139835</v>
      </c>
      <c r="AP15" s="98">
        <f t="shared" si="2"/>
        <v>16.855731532139835</v>
      </c>
      <c r="AQ15" s="116">
        <f>SUM(AE15:AP15)</f>
        <v>117.99012072497882</v>
      </c>
      <c r="AR15" s="116">
        <f>Y15-AQ15</f>
        <v>192.73210149724341</v>
      </c>
    </row>
    <row r="16" spans="1:44" x14ac:dyDescent="0.2">
      <c r="A16" s="172" t="s">
        <v>947</v>
      </c>
      <c r="B16" s="172"/>
      <c r="C16" s="172"/>
      <c r="D16" s="157"/>
      <c r="E16" s="91"/>
      <c r="F16" s="88"/>
      <c r="G16" s="90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88"/>
      <c r="S16" s="88"/>
      <c r="T16" s="89"/>
      <c r="U16" s="89"/>
      <c r="V16" s="152"/>
      <c r="W16" s="233"/>
      <c r="X16" s="100"/>
      <c r="Y16" s="125"/>
      <c r="Z16" s="10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116"/>
      <c r="AR16" s="116"/>
    </row>
    <row r="17" spans="1:44" x14ac:dyDescent="0.2">
      <c r="A17" s="172" t="s">
        <v>946</v>
      </c>
      <c r="B17" s="172"/>
      <c r="C17" s="172"/>
      <c r="D17" s="157"/>
      <c r="E17" s="91"/>
      <c r="F17" s="88"/>
      <c r="G17" s="90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88"/>
      <c r="S17" s="88"/>
      <c r="T17" s="89"/>
      <c r="U17" s="89"/>
      <c r="V17" s="152"/>
      <c r="W17" s="233"/>
      <c r="X17" s="100"/>
      <c r="Y17" s="125"/>
      <c r="Z17" s="100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116"/>
      <c r="AR17" s="116"/>
    </row>
    <row r="18" spans="1:44" x14ac:dyDescent="0.2">
      <c r="A18" s="145" t="s">
        <v>945</v>
      </c>
      <c r="B18" s="145" t="s">
        <v>944</v>
      </c>
      <c r="C18" s="145" t="s">
        <v>575</v>
      </c>
      <c r="D18" s="101">
        <v>10</v>
      </c>
      <c r="E18" s="91">
        <v>0.1</v>
      </c>
      <c r="F18" s="88">
        <v>42185</v>
      </c>
      <c r="G18" s="90">
        <f>D18*12</f>
        <v>120</v>
      </c>
      <c r="H18" s="201">
        <f>100/G18</f>
        <v>0.83333333333333337</v>
      </c>
      <c r="I18" s="233">
        <f>H18*J18</f>
        <v>14.166666666666668</v>
      </c>
      <c r="J18" s="90">
        <f>(YEAR(F18)-YEAR(S18))*12+MONTH(F18)-MONTH(S18)</f>
        <v>17</v>
      </c>
      <c r="K18" s="233">
        <f>L18*H18</f>
        <v>85.833333333333343</v>
      </c>
      <c r="L18" s="90">
        <f>G18-J18</f>
        <v>103</v>
      </c>
      <c r="M18" s="233">
        <f>N18*H18</f>
        <v>5.8333333333333339</v>
      </c>
      <c r="N18" s="90">
        <v>7</v>
      </c>
      <c r="O18" s="233">
        <f t="shared" si="0"/>
        <v>80</v>
      </c>
      <c r="P18" s="90">
        <f t="shared" si="1"/>
        <v>96</v>
      </c>
      <c r="Q18" s="88">
        <v>45292</v>
      </c>
      <c r="R18" s="88" t="s">
        <v>595</v>
      </c>
      <c r="S18" s="88">
        <v>41640</v>
      </c>
      <c r="T18" s="89">
        <f>1190*5</f>
        <v>5950</v>
      </c>
      <c r="U18" s="89">
        <f>T18*I18%</f>
        <v>842.91666666666686</v>
      </c>
      <c r="V18" s="152">
        <f>T18-U18</f>
        <v>5107.083333333333</v>
      </c>
      <c r="W18" s="233">
        <f>T18*H18%</f>
        <v>49.583333333333336</v>
      </c>
      <c r="X18" s="100">
        <f>W18*5</f>
        <v>247.91666666666669</v>
      </c>
      <c r="Y18" s="125">
        <f>V18-X18</f>
        <v>4859.1666666666661</v>
      </c>
      <c r="Z18" s="100">
        <v>115.958</v>
      </c>
      <c r="AA18" s="472">
        <v>112.505</v>
      </c>
      <c r="AB18" s="98">
        <f>Z18/AA18</f>
        <v>1.0306919692458114</v>
      </c>
      <c r="AC18" s="98">
        <f>Y18*M18/100/K18*100/7</f>
        <v>47.176375404530738</v>
      </c>
      <c r="AD18" s="98">
        <f>AC18*AB18</f>
        <v>48.62431126757545</v>
      </c>
      <c r="AE18" s="98"/>
      <c r="AF18" s="98"/>
      <c r="AG18" s="98"/>
      <c r="AH18" s="98"/>
      <c r="AI18" s="98"/>
      <c r="AJ18" s="98">
        <f t="shared" ref="AJ18:AP22" si="3">$AD18</f>
        <v>48.62431126757545</v>
      </c>
      <c r="AK18" s="98">
        <f t="shared" si="3"/>
        <v>48.62431126757545</v>
      </c>
      <c r="AL18" s="98">
        <f t="shared" si="3"/>
        <v>48.62431126757545</v>
      </c>
      <c r="AM18" s="98">
        <f t="shared" si="3"/>
        <v>48.62431126757545</v>
      </c>
      <c r="AN18" s="98">
        <f t="shared" si="3"/>
        <v>48.62431126757545</v>
      </c>
      <c r="AO18" s="98">
        <f t="shared" si="3"/>
        <v>48.62431126757545</v>
      </c>
      <c r="AP18" s="98">
        <f t="shared" si="3"/>
        <v>48.62431126757545</v>
      </c>
      <c r="AQ18" s="116">
        <f>SUM(AE18:AP18)</f>
        <v>340.37017887302818</v>
      </c>
      <c r="AR18" s="116">
        <f>Y18-AQ18</f>
        <v>4518.7964877936374</v>
      </c>
    </row>
    <row r="19" spans="1:44" x14ac:dyDescent="0.2">
      <c r="A19" s="145" t="s">
        <v>943</v>
      </c>
      <c r="B19" s="145" t="s">
        <v>942</v>
      </c>
      <c r="C19" s="145" t="s">
        <v>575</v>
      </c>
      <c r="D19" s="101">
        <v>10</v>
      </c>
      <c r="E19" s="91">
        <v>0.1</v>
      </c>
      <c r="F19" s="88">
        <v>42185</v>
      </c>
      <c r="G19" s="90">
        <f>D19*12</f>
        <v>120</v>
      </c>
      <c r="H19" s="201">
        <f>100/G19</f>
        <v>0.83333333333333337</v>
      </c>
      <c r="I19" s="233">
        <f>H19*J19</f>
        <v>14.166666666666668</v>
      </c>
      <c r="J19" s="90">
        <f>(YEAR(F19)-YEAR(S19))*12+MONTH(F19)-MONTH(S19)</f>
        <v>17</v>
      </c>
      <c r="K19" s="233">
        <f>L19*H19</f>
        <v>85.833333333333343</v>
      </c>
      <c r="L19" s="90">
        <f>G19-J19</f>
        <v>103</v>
      </c>
      <c r="M19" s="233">
        <f>N19*H19</f>
        <v>5.8333333333333339</v>
      </c>
      <c r="N19" s="90">
        <v>7</v>
      </c>
      <c r="O19" s="233">
        <f t="shared" si="0"/>
        <v>80</v>
      </c>
      <c r="P19" s="90">
        <f t="shared" si="1"/>
        <v>96</v>
      </c>
      <c r="Q19" s="88">
        <v>45292</v>
      </c>
      <c r="R19" s="88" t="s">
        <v>595</v>
      </c>
      <c r="S19" s="88">
        <v>41640</v>
      </c>
      <c r="T19" s="89">
        <v>1140</v>
      </c>
      <c r="U19" s="89">
        <f>T19*I19%</f>
        <v>161.50000000000003</v>
      </c>
      <c r="V19" s="152">
        <f>T19-U19</f>
        <v>978.5</v>
      </c>
      <c r="W19" s="233">
        <f>T19*H19%</f>
        <v>9.5</v>
      </c>
      <c r="X19" s="100">
        <f>W19*5</f>
        <v>47.5</v>
      </c>
      <c r="Y19" s="125">
        <f>V19-X19</f>
        <v>931</v>
      </c>
      <c r="Z19" s="100">
        <v>115.958</v>
      </c>
      <c r="AA19" s="472">
        <v>112.505</v>
      </c>
      <c r="AB19" s="98">
        <f>Z19/AA19</f>
        <v>1.0306919692458114</v>
      </c>
      <c r="AC19" s="98">
        <f>Y19*M19/100/K19*100/7</f>
        <v>9.0388349514563107</v>
      </c>
      <c r="AD19" s="98">
        <f>AC19*AB19</f>
        <v>9.3162545958043737</v>
      </c>
      <c r="AE19" s="98"/>
      <c r="AF19" s="98"/>
      <c r="AG19" s="98"/>
      <c r="AH19" s="98"/>
      <c r="AI19" s="98"/>
      <c r="AJ19" s="98">
        <f t="shared" si="3"/>
        <v>9.3162545958043737</v>
      </c>
      <c r="AK19" s="98">
        <f t="shared" si="3"/>
        <v>9.3162545958043737</v>
      </c>
      <c r="AL19" s="98">
        <f t="shared" si="3"/>
        <v>9.3162545958043737</v>
      </c>
      <c r="AM19" s="98">
        <f t="shared" si="3"/>
        <v>9.3162545958043737</v>
      </c>
      <c r="AN19" s="98">
        <f t="shared" si="3"/>
        <v>9.3162545958043737</v>
      </c>
      <c r="AO19" s="98">
        <f t="shared" si="3"/>
        <v>9.3162545958043737</v>
      </c>
      <c r="AP19" s="98">
        <f t="shared" si="3"/>
        <v>9.3162545958043737</v>
      </c>
      <c r="AQ19" s="116">
        <f>SUM(AE19:AP19)</f>
        <v>65.213782170630623</v>
      </c>
      <c r="AR19" s="116">
        <f>Y19-AQ19</f>
        <v>865.78621782936943</v>
      </c>
    </row>
    <row r="20" spans="1:44" x14ac:dyDescent="0.2">
      <c r="A20" s="145" t="s">
        <v>939</v>
      </c>
      <c r="B20" s="145" t="s">
        <v>938</v>
      </c>
      <c r="C20" s="145" t="s">
        <v>575</v>
      </c>
      <c r="D20" s="101">
        <v>10</v>
      </c>
      <c r="E20" s="91">
        <v>0.1</v>
      </c>
      <c r="F20" s="88">
        <v>42185</v>
      </c>
      <c r="G20" s="90">
        <f>D20*12</f>
        <v>120</v>
      </c>
      <c r="H20" s="201">
        <f>100/G20</f>
        <v>0.83333333333333337</v>
      </c>
      <c r="I20" s="233">
        <f>H20*J20</f>
        <v>14.166666666666668</v>
      </c>
      <c r="J20" s="90">
        <f>(YEAR(F20)-YEAR(S20))*12+MONTH(F20)-MONTH(S20)</f>
        <v>17</v>
      </c>
      <c r="K20" s="233">
        <f>L20*H20</f>
        <v>85.833333333333343</v>
      </c>
      <c r="L20" s="90">
        <f>G20-J20</f>
        <v>103</v>
      </c>
      <c r="M20" s="233">
        <f>N20*H20</f>
        <v>5.8333333333333339</v>
      </c>
      <c r="N20" s="90">
        <v>7</v>
      </c>
      <c r="O20" s="233">
        <f t="shared" ref="O20" si="4">P20*H20</f>
        <v>80</v>
      </c>
      <c r="P20" s="90">
        <f t="shared" ref="P20" si="5">L20-N20</f>
        <v>96</v>
      </c>
      <c r="Q20" s="88">
        <v>45292</v>
      </c>
      <c r="R20" s="88" t="s">
        <v>595</v>
      </c>
      <c r="S20" s="88">
        <v>41640</v>
      </c>
      <c r="T20" s="89">
        <f>2*1300</f>
        <v>2600</v>
      </c>
      <c r="U20" s="89">
        <f>T20*I20%</f>
        <v>368.33333333333337</v>
      </c>
      <c r="V20" s="152">
        <f>T20-U20</f>
        <v>2231.6666666666665</v>
      </c>
      <c r="W20" s="233">
        <f>T20*H20%</f>
        <v>21.666666666666668</v>
      </c>
      <c r="X20" s="100">
        <f>W20*5</f>
        <v>108.33333333333334</v>
      </c>
      <c r="Y20" s="125">
        <f>V20-X20</f>
        <v>2123.333333333333</v>
      </c>
      <c r="Z20" s="100">
        <v>115.958</v>
      </c>
      <c r="AA20" s="472">
        <v>112.505</v>
      </c>
      <c r="AB20" s="98">
        <f>Z20/AA20</f>
        <v>1.0306919692458114</v>
      </c>
      <c r="AC20" s="98">
        <f>Y20*M20/100/K20*100/7</f>
        <v>20.614886731391582</v>
      </c>
      <c r="AD20" s="98">
        <f>AC20*AB20</f>
        <v>21.247598200957338</v>
      </c>
      <c r="AE20" s="98"/>
      <c r="AF20" s="98"/>
      <c r="AG20" s="98"/>
      <c r="AH20" s="98"/>
      <c r="AI20" s="98"/>
      <c r="AJ20" s="98">
        <f t="shared" si="3"/>
        <v>21.247598200957338</v>
      </c>
      <c r="AK20" s="98">
        <f t="shared" si="3"/>
        <v>21.247598200957338</v>
      </c>
      <c r="AL20" s="98">
        <f t="shared" si="3"/>
        <v>21.247598200957338</v>
      </c>
      <c r="AM20" s="98">
        <f t="shared" si="3"/>
        <v>21.247598200957338</v>
      </c>
      <c r="AN20" s="98">
        <f t="shared" si="3"/>
        <v>21.247598200957338</v>
      </c>
      <c r="AO20" s="98">
        <f t="shared" si="3"/>
        <v>21.247598200957338</v>
      </c>
      <c r="AP20" s="98">
        <f t="shared" si="3"/>
        <v>21.247598200957338</v>
      </c>
      <c r="AQ20" s="116">
        <f>SUM(AE20:AP20)</f>
        <v>148.73318740670138</v>
      </c>
      <c r="AR20" s="116">
        <f>Y20-AQ20</f>
        <v>1974.6001459266317</v>
      </c>
    </row>
    <row r="21" spans="1:44" x14ac:dyDescent="0.2">
      <c r="A21" s="87" t="s">
        <v>1125</v>
      </c>
      <c r="B21" s="87" t="s">
        <v>894</v>
      </c>
      <c r="C21" s="87" t="s">
        <v>575</v>
      </c>
      <c r="D21" s="101">
        <v>10</v>
      </c>
      <c r="E21" s="91">
        <v>0.1</v>
      </c>
      <c r="F21" s="88">
        <v>42185</v>
      </c>
      <c r="G21" s="90">
        <f>D21*12</f>
        <v>120</v>
      </c>
      <c r="H21" s="201">
        <f>100/G21</f>
        <v>0.83333333333333337</v>
      </c>
      <c r="I21" s="233">
        <f>H21*J21</f>
        <v>14.166666666666668</v>
      </c>
      <c r="J21" s="90">
        <f>(YEAR(F21)-YEAR(S21))*12+MONTH(F21)-MONTH(S21)</f>
        <v>17</v>
      </c>
      <c r="K21" s="233">
        <f>L21*H21</f>
        <v>85.833333333333343</v>
      </c>
      <c r="L21" s="90">
        <f>G21-J21</f>
        <v>103</v>
      </c>
      <c r="M21" s="233">
        <f>N21*H21</f>
        <v>5.8333333333333339</v>
      </c>
      <c r="N21" s="90">
        <f>(7)</f>
        <v>7</v>
      </c>
      <c r="O21" s="233">
        <f>P21*H21</f>
        <v>80</v>
      </c>
      <c r="P21" s="90">
        <f>L21-N21</f>
        <v>96</v>
      </c>
      <c r="Q21" s="88">
        <v>45292</v>
      </c>
      <c r="R21" s="88" t="s">
        <v>595</v>
      </c>
      <c r="S21" s="88">
        <v>41640</v>
      </c>
      <c r="T21" s="89">
        <f>500*5</f>
        <v>2500</v>
      </c>
      <c r="U21" s="89">
        <f>T21*I21%</f>
        <v>354.16666666666674</v>
      </c>
      <c r="V21" s="152">
        <f>T21-U21</f>
        <v>2145.833333333333</v>
      </c>
      <c r="W21" s="233">
        <f>T21*H21%</f>
        <v>20.833333333333332</v>
      </c>
      <c r="X21" s="100">
        <f>W21*5</f>
        <v>104.16666666666666</v>
      </c>
      <c r="Y21" s="125">
        <f>V21-X21</f>
        <v>2041.6666666666663</v>
      </c>
      <c r="Z21" s="100">
        <v>115.958</v>
      </c>
      <c r="AA21" s="472">
        <v>112.505</v>
      </c>
      <c r="AB21" s="98">
        <f>Z21/AA21</f>
        <v>1.0306919692458114</v>
      </c>
      <c r="AC21" s="98">
        <f>Y21*M21/100/K21*100/7</f>
        <v>19.822006472491911</v>
      </c>
      <c r="AD21" s="98">
        <f>AC21*AB21</f>
        <v>20.430382885535906</v>
      </c>
      <c r="AE21" s="98"/>
      <c r="AF21" s="98"/>
      <c r="AG21" s="98"/>
      <c r="AH21" s="98"/>
      <c r="AI21" s="98"/>
      <c r="AJ21" s="98">
        <f t="shared" ref="AJ21:AP21" si="6">$AD21</f>
        <v>20.430382885535906</v>
      </c>
      <c r="AK21" s="98">
        <f t="shared" si="6"/>
        <v>20.430382885535906</v>
      </c>
      <c r="AL21" s="98">
        <f t="shared" si="6"/>
        <v>20.430382885535906</v>
      </c>
      <c r="AM21" s="98">
        <f t="shared" si="6"/>
        <v>20.430382885535906</v>
      </c>
      <c r="AN21" s="98">
        <f t="shared" si="6"/>
        <v>20.430382885535906</v>
      </c>
      <c r="AO21" s="98">
        <f t="shared" si="6"/>
        <v>20.430382885535906</v>
      </c>
      <c r="AP21" s="98">
        <f t="shared" si="6"/>
        <v>20.430382885535906</v>
      </c>
      <c r="AQ21" s="116">
        <f>SUM(AE21:AP21)</f>
        <v>143.01268019875135</v>
      </c>
      <c r="AR21" s="116">
        <f>Y21-AQ21</f>
        <v>1898.6539864679148</v>
      </c>
    </row>
    <row r="22" spans="1:44" x14ac:dyDescent="0.2">
      <c r="A22" s="145" t="s">
        <v>941</v>
      </c>
      <c r="B22" s="145" t="s">
        <v>940</v>
      </c>
      <c r="C22" s="145" t="s">
        <v>575</v>
      </c>
      <c r="D22" s="101">
        <v>10</v>
      </c>
      <c r="E22" s="91">
        <v>0.1</v>
      </c>
      <c r="F22" s="88">
        <v>42185</v>
      </c>
      <c r="G22" s="90">
        <f>D22*12</f>
        <v>120</v>
      </c>
      <c r="H22" s="201">
        <f>100/G22</f>
        <v>0.83333333333333337</v>
      </c>
      <c r="I22" s="233">
        <f>H22*J22</f>
        <v>14.166666666666668</v>
      </c>
      <c r="J22" s="90">
        <f>(YEAR(F22)-YEAR(S22))*12+MONTH(F22)-MONTH(S22)</f>
        <v>17</v>
      </c>
      <c r="K22" s="233">
        <f>L22*H22</f>
        <v>85.833333333333343</v>
      </c>
      <c r="L22" s="90">
        <f>G22-J22</f>
        <v>103</v>
      </c>
      <c r="M22" s="233">
        <f>N22*H22</f>
        <v>5.8333333333333339</v>
      </c>
      <c r="N22" s="90">
        <v>7</v>
      </c>
      <c r="O22" s="233">
        <f t="shared" si="0"/>
        <v>80</v>
      </c>
      <c r="P22" s="90">
        <f t="shared" si="1"/>
        <v>96</v>
      </c>
      <c r="Q22" s="88">
        <v>45292</v>
      </c>
      <c r="R22" s="88" t="s">
        <v>595</v>
      </c>
      <c r="S22" s="88">
        <v>41640</v>
      </c>
      <c r="T22" s="89">
        <v>1380</v>
      </c>
      <c r="U22" s="89">
        <f>T22*I22%</f>
        <v>195.50000000000003</v>
      </c>
      <c r="V22" s="152">
        <f>T22-U22</f>
        <v>1184.5</v>
      </c>
      <c r="W22" s="233">
        <f>T22*H22%</f>
        <v>11.5</v>
      </c>
      <c r="X22" s="100">
        <f>W22*5</f>
        <v>57.5</v>
      </c>
      <c r="Y22" s="125">
        <f>V22-X22</f>
        <v>1127</v>
      </c>
      <c r="Z22" s="100">
        <v>115.958</v>
      </c>
      <c r="AA22" s="472">
        <v>112.505</v>
      </c>
      <c r="AB22" s="98">
        <f>Z22/AA22</f>
        <v>1.0306919692458114</v>
      </c>
      <c r="AC22" s="98">
        <f>Y22*M22/100/K22*100/7</f>
        <v>10.941747572815535</v>
      </c>
      <c r="AD22" s="98">
        <f>AC22*AB22</f>
        <v>11.277571352815821</v>
      </c>
      <c r="AE22" s="98"/>
      <c r="AF22" s="98"/>
      <c r="AG22" s="98"/>
      <c r="AH22" s="98"/>
      <c r="AI22" s="98"/>
      <c r="AJ22" s="98">
        <f t="shared" si="3"/>
        <v>11.277571352815821</v>
      </c>
      <c r="AK22" s="98">
        <f t="shared" si="3"/>
        <v>11.277571352815821</v>
      </c>
      <c r="AL22" s="98">
        <f t="shared" si="3"/>
        <v>11.277571352815821</v>
      </c>
      <c r="AM22" s="98">
        <f t="shared" si="3"/>
        <v>11.277571352815821</v>
      </c>
      <c r="AN22" s="98">
        <f t="shared" si="3"/>
        <v>11.277571352815821</v>
      </c>
      <c r="AO22" s="98">
        <f t="shared" si="3"/>
        <v>11.277571352815821</v>
      </c>
      <c r="AP22" s="98">
        <f t="shared" si="3"/>
        <v>11.277571352815821</v>
      </c>
      <c r="AQ22" s="116">
        <f>SUM(AE22:AP22)</f>
        <v>78.942999469710756</v>
      </c>
      <c r="AR22" s="116">
        <f>Y22-AQ22</f>
        <v>1048.0570005302893</v>
      </c>
    </row>
    <row r="23" spans="1:44" x14ac:dyDescent="0.2">
      <c r="A23" s="172" t="s">
        <v>74</v>
      </c>
      <c r="B23" s="172"/>
      <c r="C23" s="172"/>
      <c r="D23" s="101"/>
      <c r="E23" s="91"/>
      <c r="F23" s="88"/>
      <c r="G23" s="90"/>
      <c r="H23" s="201"/>
      <c r="I23" s="233"/>
      <c r="J23" s="90"/>
      <c r="K23" s="233"/>
      <c r="L23" s="90"/>
      <c r="M23" s="233"/>
      <c r="N23" s="90"/>
      <c r="O23" s="233"/>
      <c r="P23" s="90"/>
      <c r="Q23" s="88"/>
      <c r="R23" s="88"/>
      <c r="S23" s="88"/>
      <c r="T23" s="89"/>
      <c r="U23" s="89"/>
      <c r="V23" s="152"/>
      <c r="W23" s="233"/>
      <c r="X23" s="100"/>
      <c r="Y23" s="125"/>
      <c r="Z23" s="100"/>
      <c r="AA23" s="472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116"/>
      <c r="AR23" s="116"/>
    </row>
    <row r="24" spans="1:44" x14ac:dyDescent="0.2">
      <c r="A24" s="172" t="s">
        <v>1067</v>
      </c>
      <c r="B24" s="145"/>
      <c r="C24" s="145"/>
      <c r="D24" s="101"/>
      <c r="E24" s="91"/>
      <c r="F24" s="88"/>
      <c r="G24" s="90"/>
      <c r="H24" s="201"/>
      <c r="I24" s="233"/>
      <c r="J24" s="90"/>
      <c r="K24" s="233"/>
      <c r="L24" s="90"/>
      <c r="M24" s="233"/>
      <c r="N24" s="90"/>
      <c r="O24" s="233"/>
      <c r="P24" s="90"/>
      <c r="Q24" s="88"/>
      <c r="R24" s="88"/>
      <c r="S24" s="88"/>
      <c r="T24" s="89"/>
      <c r="U24" s="89"/>
      <c r="V24" s="152"/>
      <c r="W24" s="233"/>
      <c r="X24" s="100"/>
      <c r="Y24" s="125"/>
      <c r="Z24" s="100"/>
      <c r="AA24" s="472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116"/>
      <c r="AR24" s="116"/>
    </row>
    <row r="25" spans="1:44" x14ac:dyDescent="0.2">
      <c r="A25" s="145" t="s">
        <v>1068</v>
      </c>
      <c r="B25" s="145" t="s">
        <v>1069</v>
      </c>
      <c r="C25" s="145" t="s">
        <v>575</v>
      </c>
      <c r="D25" s="101">
        <v>3</v>
      </c>
      <c r="E25" s="91">
        <v>0.33329999999999999</v>
      </c>
      <c r="F25" s="437">
        <v>42185</v>
      </c>
      <c r="G25" s="438">
        <f>D25*12</f>
        <v>36</v>
      </c>
      <c r="H25" s="439">
        <f>100/G25</f>
        <v>2.7777777777777777</v>
      </c>
      <c r="I25" s="440">
        <f>H25*J25</f>
        <v>0</v>
      </c>
      <c r="J25" s="438">
        <v>0</v>
      </c>
      <c r="K25" s="440">
        <f>L25*H25</f>
        <v>100</v>
      </c>
      <c r="L25" s="438">
        <f>G25-J25</f>
        <v>36</v>
      </c>
      <c r="M25" s="440">
        <f>N25*H25</f>
        <v>8.3333333333333321</v>
      </c>
      <c r="N25" s="438">
        <v>3</v>
      </c>
      <c r="O25" s="440">
        <f>P25*H25</f>
        <v>91.666666666666657</v>
      </c>
      <c r="P25" s="438">
        <f>L25-N25</f>
        <v>33</v>
      </c>
      <c r="Q25" s="437">
        <v>43466</v>
      </c>
      <c r="R25" s="437" t="s">
        <v>1066</v>
      </c>
      <c r="S25" s="437">
        <v>42254</v>
      </c>
      <c r="T25" s="443">
        <v>6854</v>
      </c>
      <c r="U25" s="443">
        <f>T25*I25%</f>
        <v>0</v>
      </c>
      <c r="V25" s="444">
        <v>0</v>
      </c>
      <c r="W25" s="440">
        <v>0</v>
      </c>
      <c r="X25" s="445">
        <f>W25*5</f>
        <v>0</v>
      </c>
      <c r="Y25" s="446">
        <v>0</v>
      </c>
      <c r="Z25" s="445">
        <v>115.958</v>
      </c>
      <c r="AA25" s="458">
        <v>116.809</v>
      </c>
      <c r="AB25" s="447">
        <f>Z25/AA25</f>
        <v>0.99271460247070009</v>
      </c>
      <c r="AC25" s="447">
        <f>T25*M25/100/K25*100/7</f>
        <v>81.595238095238074</v>
      </c>
      <c r="AD25" s="447">
        <f>AC25*AB25</f>
        <v>81.000784349216389</v>
      </c>
      <c r="AE25" s="447"/>
      <c r="AF25" s="447"/>
      <c r="AG25" s="447"/>
      <c r="AH25" s="447"/>
      <c r="AI25" s="447"/>
      <c r="AJ25" s="447"/>
      <c r="AK25" s="447"/>
      <c r="AL25" s="447"/>
      <c r="AM25" s="447"/>
      <c r="AN25" s="447">
        <f t="shared" ref="AN25:AP25" si="7">$AD25</f>
        <v>81.000784349216389</v>
      </c>
      <c r="AO25" s="447">
        <f t="shared" si="7"/>
        <v>81.000784349216389</v>
      </c>
      <c r="AP25" s="447">
        <f t="shared" si="7"/>
        <v>81.000784349216389</v>
      </c>
      <c r="AQ25" s="448">
        <f>SUM(AE25:AP25)</f>
        <v>243.00235304764917</v>
      </c>
      <c r="AR25" s="448">
        <f>T25-AQ25</f>
        <v>6610.9976469523508</v>
      </c>
    </row>
    <row r="26" spans="1:44" x14ac:dyDescent="0.2">
      <c r="A26" s="172" t="s">
        <v>74</v>
      </c>
      <c r="B26" s="172"/>
      <c r="C26" s="172"/>
      <c r="D26" s="101"/>
      <c r="E26" s="91"/>
      <c r="F26" s="88"/>
      <c r="G26" s="90"/>
      <c r="H26" s="201"/>
      <c r="I26" s="233"/>
      <c r="J26" s="90"/>
      <c r="K26" s="233"/>
      <c r="L26" s="90"/>
      <c r="M26" s="233"/>
      <c r="N26" s="90"/>
      <c r="O26" s="233"/>
      <c r="P26" s="90"/>
      <c r="Q26" s="88"/>
      <c r="R26" s="88"/>
      <c r="S26" s="88"/>
      <c r="T26" s="89"/>
      <c r="U26" s="89"/>
      <c r="V26" s="152"/>
      <c r="W26" s="233"/>
      <c r="X26" s="100"/>
      <c r="Y26" s="125"/>
      <c r="Z26" s="100"/>
      <c r="AA26" s="472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116"/>
      <c r="AR26" s="116"/>
    </row>
    <row r="27" spans="1:44" x14ac:dyDescent="0.2">
      <c r="A27" s="172" t="s">
        <v>81</v>
      </c>
      <c r="B27" s="145"/>
      <c r="C27" s="145"/>
      <c r="D27" s="101"/>
      <c r="E27" s="91"/>
      <c r="F27" s="88"/>
      <c r="G27" s="90"/>
      <c r="H27" s="201"/>
      <c r="I27" s="233"/>
      <c r="J27" s="90"/>
      <c r="K27" s="233"/>
      <c r="L27" s="90"/>
      <c r="M27" s="233"/>
      <c r="N27" s="90"/>
      <c r="O27" s="233"/>
      <c r="P27" s="90"/>
      <c r="Q27" s="88"/>
      <c r="R27" s="88"/>
      <c r="S27" s="88"/>
      <c r="T27" s="89"/>
      <c r="U27" s="89"/>
      <c r="V27" s="152"/>
      <c r="W27" s="233"/>
      <c r="X27" s="100"/>
      <c r="Y27" s="125"/>
      <c r="Z27" s="100"/>
      <c r="AA27" s="472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116"/>
      <c r="AR27" s="116"/>
    </row>
    <row r="28" spans="1:44" x14ac:dyDescent="0.2">
      <c r="A28" s="145" t="s">
        <v>937</v>
      </c>
      <c r="B28" s="145" t="s">
        <v>936</v>
      </c>
      <c r="C28" s="145" t="s">
        <v>575</v>
      </c>
      <c r="D28" s="101">
        <v>10</v>
      </c>
      <c r="E28" s="91">
        <v>0.1</v>
      </c>
      <c r="F28" s="88">
        <v>42185</v>
      </c>
      <c r="G28" s="90">
        <f>D28*12</f>
        <v>120</v>
      </c>
      <c r="H28" s="201">
        <f>100/G28</f>
        <v>0.83333333333333337</v>
      </c>
      <c r="I28" s="233">
        <f>H28*J28</f>
        <v>14.166666666666668</v>
      </c>
      <c r="J28" s="90">
        <f>(YEAR(F28)-YEAR(S28))*12+MONTH(F28)-MONTH(S28)</f>
        <v>17</v>
      </c>
      <c r="K28" s="233">
        <f>L28*H28</f>
        <v>85.833333333333343</v>
      </c>
      <c r="L28" s="90">
        <f>G28-J28</f>
        <v>103</v>
      </c>
      <c r="M28" s="233">
        <f>N28*H28</f>
        <v>5.8333333333333339</v>
      </c>
      <c r="N28" s="90">
        <v>7</v>
      </c>
      <c r="O28" s="233">
        <f>P28*H28</f>
        <v>80</v>
      </c>
      <c r="P28" s="90">
        <f>L28-N28</f>
        <v>96</v>
      </c>
      <c r="Q28" s="88">
        <v>45292</v>
      </c>
      <c r="R28" s="88" t="s">
        <v>595</v>
      </c>
      <c r="S28" s="88">
        <v>41640</v>
      </c>
      <c r="T28" s="89">
        <f>8*480</f>
        <v>3840</v>
      </c>
      <c r="U28" s="89">
        <f>T28*I28%</f>
        <v>544.00000000000011</v>
      </c>
      <c r="V28" s="152">
        <f>T28-U28</f>
        <v>3296</v>
      </c>
      <c r="W28" s="233">
        <f>T28*H28%</f>
        <v>32</v>
      </c>
      <c r="X28" s="100">
        <f>W28*5</f>
        <v>160</v>
      </c>
      <c r="Y28" s="125">
        <f>V28-X28</f>
        <v>3136</v>
      </c>
      <c r="Z28" s="100">
        <v>115.958</v>
      </c>
      <c r="AA28" s="472">
        <v>112.505</v>
      </c>
      <c r="AB28" s="98">
        <f>Z28/AA28</f>
        <v>1.0306919692458114</v>
      </c>
      <c r="AC28" s="98">
        <f>Y28*M28/100/K28*100/7</f>
        <v>30.446601941747577</v>
      </c>
      <c r="AD28" s="98">
        <f>AC28*AB28</f>
        <v>31.381068112183154</v>
      </c>
      <c r="AE28" s="98"/>
      <c r="AF28" s="98"/>
      <c r="AG28" s="98"/>
      <c r="AH28" s="98"/>
      <c r="AI28" s="98"/>
      <c r="AJ28" s="98">
        <f t="shared" ref="AJ28:AP31" si="8">$AD28</f>
        <v>31.381068112183154</v>
      </c>
      <c r="AK28" s="98">
        <f t="shared" si="8"/>
        <v>31.381068112183154</v>
      </c>
      <c r="AL28" s="98">
        <f t="shared" si="8"/>
        <v>31.381068112183154</v>
      </c>
      <c r="AM28" s="98">
        <f t="shared" si="8"/>
        <v>31.381068112183154</v>
      </c>
      <c r="AN28" s="98">
        <f t="shared" si="8"/>
        <v>31.381068112183154</v>
      </c>
      <c r="AO28" s="98">
        <f t="shared" si="8"/>
        <v>31.381068112183154</v>
      </c>
      <c r="AP28" s="98">
        <f t="shared" si="8"/>
        <v>31.381068112183154</v>
      </c>
      <c r="AQ28" s="116">
        <f>SUM(AE28:AP28)</f>
        <v>219.66747678528208</v>
      </c>
      <c r="AR28" s="116">
        <f>Y28-AQ28</f>
        <v>2916.3325232147181</v>
      </c>
    </row>
    <row r="29" spans="1:44" x14ac:dyDescent="0.2">
      <c r="A29" s="145" t="s">
        <v>933</v>
      </c>
      <c r="B29" s="145" t="s">
        <v>935</v>
      </c>
      <c r="C29" s="145" t="s">
        <v>575</v>
      </c>
      <c r="D29" s="101">
        <v>5</v>
      </c>
      <c r="E29" s="91">
        <v>0.2</v>
      </c>
      <c r="F29" s="88">
        <v>42185</v>
      </c>
      <c r="G29" s="90">
        <f>D29*12</f>
        <v>60</v>
      </c>
      <c r="H29" s="201">
        <f>100/G29</f>
        <v>1.6666666666666667</v>
      </c>
      <c r="I29" s="233">
        <f>H29*J29</f>
        <v>28.333333333333336</v>
      </c>
      <c r="J29" s="90">
        <f>(YEAR(F29)-YEAR(S29))*12+MONTH(F29)-MONTH(S29)</f>
        <v>17</v>
      </c>
      <c r="K29" s="233">
        <f>L29*H29</f>
        <v>71.666666666666671</v>
      </c>
      <c r="L29" s="90">
        <f>G29-J29</f>
        <v>43</v>
      </c>
      <c r="M29" s="233">
        <f>N29*H29</f>
        <v>11.666666666666668</v>
      </c>
      <c r="N29" s="90">
        <v>7</v>
      </c>
      <c r="O29" s="233">
        <f>P29*H29</f>
        <v>60</v>
      </c>
      <c r="P29" s="90">
        <f>L29-N29</f>
        <v>36</v>
      </c>
      <c r="Q29" s="88">
        <v>43466</v>
      </c>
      <c r="R29" s="88" t="s">
        <v>595</v>
      </c>
      <c r="S29" s="88">
        <v>41640</v>
      </c>
      <c r="T29" s="89">
        <v>300</v>
      </c>
      <c r="U29" s="89">
        <f>T29*I29%</f>
        <v>85.000000000000014</v>
      </c>
      <c r="V29" s="152">
        <f>T29-U29</f>
        <v>215</v>
      </c>
      <c r="W29" s="233">
        <f>T29*H29%</f>
        <v>5</v>
      </c>
      <c r="X29" s="100">
        <f>W29*5</f>
        <v>25</v>
      </c>
      <c r="Y29" s="125">
        <f>V29-X29</f>
        <v>190</v>
      </c>
      <c r="Z29" s="100">
        <v>115.958</v>
      </c>
      <c r="AA29" s="472">
        <v>112.505</v>
      </c>
      <c r="AB29" s="98">
        <f>Z29/AA29</f>
        <v>1.0306919692458114</v>
      </c>
      <c r="AC29" s="98">
        <f>Y29*M29/100/K29*100/7</f>
        <v>4.4186046511627923</v>
      </c>
      <c r="AD29" s="98">
        <f>AC29*AB29</f>
        <v>4.5542203292256804</v>
      </c>
      <c r="AE29" s="98"/>
      <c r="AF29" s="98"/>
      <c r="AG29" s="98"/>
      <c r="AH29" s="98"/>
      <c r="AI29" s="98"/>
      <c r="AJ29" s="98">
        <f t="shared" si="8"/>
        <v>4.5542203292256804</v>
      </c>
      <c r="AK29" s="98">
        <f t="shared" si="8"/>
        <v>4.5542203292256804</v>
      </c>
      <c r="AL29" s="98">
        <f t="shared" si="8"/>
        <v>4.5542203292256804</v>
      </c>
      <c r="AM29" s="98">
        <f t="shared" si="8"/>
        <v>4.5542203292256804</v>
      </c>
      <c r="AN29" s="98">
        <f t="shared" si="8"/>
        <v>4.5542203292256804</v>
      </c>
      <c r="AO29" s="98">
        <f t="shared" si="8"/>
        <v>4.5542203292256804</v>
      </c>
      <c r="AP29" s="98">
        <f t="shared" si="8"/>
        <v>4.5542203292256804</v>
      </c>
      <c r="AQ29" s="116">
        <f>SUM(AE29:AP29)</f>
        <v>31.879542304579758</v>
      </c>
      <c r="AR29" s="116">
        <f>Y29-AQ29</f>
        <v>158.12045769542024</v>
      </c>
    </row>
    <row r="30" spans="1:44" x14ac:dyDescent="0.2">
      <c r="A30" s="145" t="s">
        <v>933</v>
      </c>
      <c r="B30" s="145" t="s">
        <v>934</v>
      </c>
      <c r="C30" s="145" t="s">
        <v>575</v>
      </c>
      <c r="D30" s="101">
        <v>5</v>
      </c>
      <c r="E30" s="91">
        <v>0.2</v>
      </c>
      <c r="F30" s="88">
        <v>42185</v>
      </c>
      <c r="G30" s="90">
        <f>D30*12</f>
        <v>60</v>
      </c>
      <c r="H30" s="201">
        <f>100/G30</f>
        <v>1.6666666666666667</v>
      </c>
      <c r="I30" s="233">
        <f>H30*J30</f>
        <v>28.333333333333336</v>
      </c>
      <c r="J30" s="90">
        <f>(YEAR(F30)-YEAR(S30))*12+MONTH(F30)-MONTH(S30)</f>
        <v>17</v>
      </c>
      <c r="K30" s="233">
        <f>L30*H30</f>
        <v>71.666666666666671</v>
      </c>
      <c r="L30" s="90">
        <f>G30-J30</f>
        <v>43</v>
      </c>
      <c r="M30" s="233">
        <f>N30*H30</f>
        <v>11.666666666666668</v>
      </c>
      <c r="N30" s="90">
        <v>7</v>
      </c>
      <c r="O30" s="233">
        <f>P30*H30</f>
        <v>60</v>
      </c>
      <c r="P30" s="90">
        <f>L30-N30</f>
        <v>36</v>
      </c>
      <c r="Q30" s="88">
        <v>43466</v>
      </c>
      <c r="R30" s="88" t="s">
        <v>595</v>
      </c>
      <c r="S30" s="88">
        <v>41640</v>
      </c>
      <c r="T30" s="89">
        <v>600</v>
      </c>
      <c r="U30" s="89">
        <f>T30*I30%</f>
        <v>170.00000000000003</v>
      </c>
      <c r="V30" s="152">
        <f>T30-U30</f>
        <v>430</v>
      </c>
      <c r="W30" s="233">
        <f>T30*H30%</f>
        <v>10</v>
      </c>
      <c r="X30" s="100">
        <f>W30*5</f>
        <v>50</v>
      </c>
      <c r="Y30" s="125">
        <f>V30-X30</f>
        <v>380</v>
      </c>
      <c r="Z30" s="100">
        <v>115.958</v>
      </c>
      <c r="AA30" s="472">
        <v>112.505</v>
      </c>
      <c r="AB30" s="98">
        <f>Z30/AA30</f>
        <v>1.0306919692458114</v>
      </c>
      <c r="AC30" s="98">
        <f>Y30*M30/100/K30*100/7</f>
        <v>8.8372093023255847</v>
      </c>
      <c r="AD30" s="98">
        <f>AC30*AB30</f>
        <v>9.1084406584513609</v>
      </c>
      <c r="AE30" s="98"/>
      <c r="AF30" s="98"/>
      <c r="AG30" s="98"/>
      <c r="AH30" s="98"/>
      <c r="AI30" s="98"/>
      <c r="AJ30" s="98">
        <f t="shared" si="8"/>
        <v>9.1084406584513609</v>
      </c>
      <c r="AK30" s="98">
        <f t="shared" si="8"/>
        <v>9.1084406584513609</v>
      </c>
      <c r="AL30" s="98">
        <f t="shared" si="8"/>
        <v>9.1084406584513609</v>
      </c>
      <c r="AM30" s="98">
        <f t="shared" si="8"/>
        <v>9.1084406584513609</v>
      </c>
      <c r="AN30" s="98">
        <f t="shared" si="8"/>
        <v>9.1084406584513609</v>
      </c>
      <c r="AO30" s="98">
        <f t="shared" si="8"/>
        <v>9.1084406584513609</v>
      </c>
      <c r="AP30" s="98">
        <f t="shared" si="8"/>
        <v>9.1084406584513609</v>
      </c>
      <c r="AQ30" s="116">
        <f>SUM(AE30:AP30)</f>
        <v>63.759084609159515</v>
      </c>
      <c r="AR30" s="116">
        <f>Y30-AQ30</f>
        <v>316.24091539084048</v>
      </c>
    </row>
    <row r="31" spans="1:44" x14ac:dyDescent="0.2">
      <c r="A31" s="145" t="s">
        <v>933</v>
      </c>
      <c r="B31" s="145" t="s">
        <v>932</v>
      </c>
      <c r="C31" s="145" t="s">
        <v>575</v>
      </c>
      <c r="D31" s="101">
        <v>10</v>
      </c>
      <c r="E31" s="91">
        <v>0.1</v>
      </c>
      <c r="F31" s="88">
        <v>42185</v>
      </c>
      <c r="G31" s="90">
        <f>D31*12</f>
        <v>120</v>
      </c>
      <c r="H31" s="201">
        <f>100/G31</f>
        <v>0.83333333333333337</v>
      </c>
      <c r="I31" s="233">
        <f>H31*J31</f>
        <v>14.166666666666668</v>
      </c>
      <c r="J31" s="90">
        <f>(YEAR(F31)-YEAR(S31))*12+MONTH(F31)-MONTH(S31)</f>
        <v>17</v>
      </c>
      <c r="K31" s="233">
        <f>L31*H31</f>
        <v>85.833333333333343</v>
      </c>
      <c r="L31" s="90">
        <f>G31-J31</f>
        <v>103</v>
      </c>
      <c r="M31" s="233">
        <f>N31*H31</f>
        <v>5.8333333333333339</v>
      </c>
      <c r="N31" s="90">
        <v>7</v>
      </c>
      <c r="O31" s="233">
        <f>P31*H31</f>
        <v>80</v>
      </c>
      <c r="P31" s="90">
        <f>L31-N31</f>
        <v>96</v>
      </c>
      <c r="Q31" s="88">
        <v>45292</v>
      </c>
      <c r="R31" s="88" t="s">
        <v>595</v>
      </c>
      <c r="S31" s="88">
        <v>41640</v>
      </c>
      <c r="T31" s="89">
        <v>750</v>
      </c>
      <c r="U31" s="89">
        <f>T31*I31%</f>
        <v>106.25000000000001</v>
      </c>
      <c r="V31" s="152">
        <f>T31-U31</f>
        <v>643.75</v>
      </c>
      <c r="W31" s="233">
        <f>T31*H31%</f>
        <v>6.25</v>
      </c>
      <c r="X31" s="100">
        <f>W31*5</f>
        <v>31.25</v>
      </c>
      <c r="Y31" s="125">
        <f>V31-X31</f>
        <v>612.5</v>
      </c>
      <c r="Z31" s="100">
        <v>115.958</v>
      </c>
      <c r="AA31" s="472">
        <v>112.505</v>
      </c>
      <c r="AB31" s="98">
        <f>Z31/AA31</f>
        <v>1.0306919692458114</v>
      </c>
      <c r="AC31" s="98">
        <f>Y31*M31/100/K31*100/7</f>
        <v>5.9466019417475726</v>
      </c>
      <c r="AD31" s="98">
        <f>AC31*AB31</f>
        <v>6.1291148656607719</v>
      </c>
      <c r="AE31" s="98"/>
      <c r="AF31" s="98"/>
      <c r="AG31" s="98"/>
      <c r="AH31" s="98"/>
      <c r="AI31" s="98"/>
      <c r="AJ31" s="98">
        <f t="shared" si="8"/>
        <v>6.1291148656607719</v>
      </c>
      <c r="AK31" s="98">
        <f t="shared" si="8"/>
        <v>6.1291148656607719</v>
      </c>
      <c r="AL31" s="98">
        <f t="shared" si="8"/>
        <v>6.1291148656607719</v>
      </c>
      <c r="AM31" s="98">
        <f t="shared" si="8"/>
        <v>6.1291148656607719</v>
      </c>
      <c r="AN31" s="98">
        <f t="shared" si="8"/>
        <v>6.1291148656607719</v>
      </c>
      <c r="AO31" s="98">
        <f t="shared" si="8"/>
        <v>6.1291148656607719</v>
      </c>
      <c r="AP31" s="98">
        <f t="shared" si="8"/>
        <v>6.1291148656607719</v>
      </c>
      <c r="AQ31" s="116">
        <f>SUM(AE31:AP31)</f>
        <v>42.903804059625408</v>
      </c>
      <c r="AR31" s="116">
        <f>Y31-AQ31</f>
        <v>569.59619594037463</v>
      </c>
    </row>
    <row r="32" spans="1:44" x14ac:dyDescent="0.2">
      <c r="A32" s="172" t="s">
        <v>68</v>
      </c>
      <c r="B32" s="172"/>
      <c r="C32" s="172"/>
      <c r="D32" s="101"/>
      <c r="E32" s="91"/>
      <c r="F32" s="88"/>
      <c r="G32" s="90"/>
      <c r="H32" s="201"/>
      <c r="I32" s="233"/>
      <c r="J32" s="90"/>
      <c r="K32" s="233"/>
      <c r="L32" s="90"/>
      <c r="M32" s="233"/>
      <c r="N32" s="90"/>
      <c r="O32" s="233"/>
      <c r="P32" s="90"/>
      <c r="Q32" s="88"/>
      <c r="R32" s="88"/>
      <c r="S32" s="88"/>
      <c r="T32" s="89"/>
      <c r="U32" s="89"/>
      <c r="V32" s="152"/>
      <c r="W32" s="233"/>
      <c r="X32" s="100"/>
      <c r="Y32" s="125"/>
      <c r="Z32" s="100"/>
      <c r="AA32" s="472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116"/>
      <c r="AR32" s="116"/>
    </row>
    <row r="33" spans="1:44" x14ac:dyDescent="0.2">
      <c r="A33" s="172" t="s">
        <v>87</v>
      </c>
      <c r="B33" s="145"/>
      <c r="C33" s="145"/>
      <c r="D33" s="101"/>
      <c r="E33" s="91"/>
      <c r="F33" s="88"/>
      <c r="G33" s="90"/>
      <c r="H33" s="201"/>
      <c r="I33" s="233"/>
      <c r="J33" s="90"/>
      <c r="K33" s="233"/>
      <c r="L33" s="90"/>
      <c r="M33" s="233"/>
      <c r="N33" s="90"/>
      <c r="O33" s="233"/>
      <c r="P33" s="90"/>
      <c r="Q33" s="88"/>
      <c r="R33" s="88"/>
      <c r="S33" s="88"/>
      <c r="T33" s="89"/>
      <c r="U33" s="89"/>
      <c r="V33" s="152"/>
      <c r="W33" s="233"/>
      <c r="X33" s="100"/>
      <c r="Y33" s="125"/>
      <c r="Z33" s="100"/>
      <c r="AA33" s="472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116"/>
      <c r="AR33" s="116"/>
    </row>
    <row r="34" spans="1:44" x14ac:dyDescent="0.2">
      <c r="A34" s="145" t="s">
        <v>931</v>
      </c>
      <c r="B34" s="145" t="s">
        <v>930</v>
      </c>
      <c r="C34" s="145" t="s">
        <v>575</v>
      </c>
      <c r="D34" s="101">
        <v>5</v>
      </c>
      <c r="E34" s="91">
        <v>0.2</v>
      </c>
      <c r="F34" s="88">
        <v>42185</v>
      </c>
      <c r="G34" s="90">
        <f>D34*12</f>
        <v>60</v>
      </c>
      <c r="H34" s="201">
        <f>100/G34</f>
        <v>1.6666666666666667</v>
      </c>
      <c r="I34" s="233">
        <f>H34*J34</f>
        <v>28.333333333333336</v>
      </c>
      <c r="J34" s="90">
        <f>(YEAR(F34)-YEAR(S34))*12+MONTH(F34)-MONTH(S34)</f>
        <v>17</v>
      </c>
      <c r="K34" s="233">
        <f>L34*H34</f>
        <v>71.666666666666671</v>
      </c>
      <c r="L34" s="90">
        <f>G34-J34</f>
        <v>43</v>
      </c>
      <c r="M34" s="233">
        <f>N34*H34</f>
        <v>11.666666666666668</v>
      </c>
      <c r="N34" s="90">
        <v>7</v>
      </c>
      <c r="O34" s="233">
        <f>P34*H34</f>
        <v>60</v>
      </c>
      <c r="P34" s="90">
        <f>L34-N34</f>
        <v>36</v>
      </c>
      <c r="Q34" s="88">
        <v>45292</v>
      </c>
      <c r="R34" s="88" t="s">
        <v>595</v>
      </c>
      <c r="S34" s="88">
        <v>41640</v>
      </c>
      <c r="T34" s="89">
        <v>400</v>
      </c>
      <c r="U34" s="89">
        <f>T34*I34%</f>
        <v>113.33333333333336</v>
      </c>
      <c r="V34" s="152">
        <f>T34-U34</f>
        <v>286.66666666666663</v>
      </c>
      <c r="W34" s="233">
        <f>T34*H34%</f>
        <v>6.666666666666667</v>
      </c>
      <c r="X34" s="100">
        <f>W34*5</f>
        <v>33.333333333333336</v>
      </c>
      <c r="Y34" s="125">
        <f>V34-X34</f>
        <v>253.33333333333329</v>
      </c>
      <c r="Z34" s="100">
        <v>115.958</v>
      </c>
      <c r="AA34" s="472">
        <v>112.505</v>
      </c>
      <c r="AB34" s="98">
        <f>Z34/AA34</f>
        <v>1.0306919692458114</v>
      </c>
      <c r="AC34" s="98">
        <f>Y34*M34/100/K34*100/7</f>
        <v>5.8914728682170532</v>
      </c>
      <c r="AD34" s="98">
        <f>AC34*AB34</f>
        <v>6.0722937723009034</v>
      </c>
      <c r="AE34" s="98"/>
      <c r="AF34" s="98"/>
      <c r="AG34" s="98"/>
      <c r="AH34" s="98"/>
      <c r="AI34" s="98"/>
      <c r="AJ34" s="98">
        <f t="shared" ref="AJ34:AP34" si="9">$AD34</f>
        <v>6.0722937723009034</v>
      </c>
      <c r="AK34" s="98">
        <f t="shared" si="9"/>
        <v>6.0722937723009034</v>
      </c>
      <c r="AL34" s="98">
        <f t="shared" si="9"/>
        <v>6.0722937723009034</v>
      </c>
      <c r="AM34" s="98">
        <f t="shared" si="9"/>
        <v>6.0722937723009034</v>
      </c>
      <c r="AN34" s="98">
        <f t="shared" si="9"/>
        <v>6.0722937723009034</v>
      </c>
      <c r="AO34" s="98">
        <f t="shared" si="9"/>
        <v>6.0722937723009034</v>
      </c>
      <c r="AP34" s="98">
        <f t="shared" si="9"/>
        <v>6.0722937723009034</v>
      </c>
      <c r="AQ34" s="116">
        <f>SUM(AE34:AP34)</f>
        <v>42.506056406106325</v>
      </c>
      <c r="AR34" s="116">
        <f>Y34-AQ34</f>
        <v>210.82727692722696</v>
      </c>
    </row>
    <row r="35" spans="1:44" x14ac:dyDescent="0.2">
      <c r="A35" s="172" t="s">
        <v>74</v>
      </c>
      <c r="B35" s="172"/>
      <c r="C35" s="172"/>
      <c r="D35" s="101"/>
      <c r="E35" s="91"/>
      <c r="F35" s="88"/>
      <c r="G35" s="90"/>
      <c r="H35" s="201"/>
      <c r="I35" s="233"/>
      <c r="J35" s="90"/>
      <c r="K35" s="233"/>
      <c r="L35" s="90"/>
      <c r="M35" s="233"/>
      <c r="N35" s="90"/>
      <c r="O35" s="233"/>
      <c r="P35" s="90"/>
      <c r="Q35" s="88"/>
      <c r="R35" s="88"/>
      <c r="S35" s="88"/>
      <c r="T35" s="89"/>
      <c r="U35" s="89"/>
      <c r="V35" s="152"/>
      <c r="W35" s="233"/>
      <c r="X35" s="100"/>
      <c r="Y35" s="125"/>
      <c r="Z35" s="100"/>
      <c r="AA35" s="472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116"/>
      <c r="AR35" s="116"/>
    </row>
    <row r="36" spans="1:44" x14ac:dyDescent="0.2">
      <c r="A36" s="172" t="s">
        <v>929</v>
      </c>
      <c r="B36" s="145"/>
      <c r="C36" s="145"/>
      <c r="D36" s="101"/>
      <c r="E36" s="91"/>
      <c r="F36" s="88"/>
      <c r="G36" s="90"/>
      <c r="H36" s="201"/>
      <c r="I36" s="233"/>
      <c r="J36" s="90"/>
      <c r="K36" s="233"/>
      <c r="L36" s="90"/>
      <c r="M36" s="233"/>
      <c r="N36" s="90"/>
      <c r="O36" s="233"/>
      <c r="P36" s="90"/>
      <c r="Q36" s="88"/>
      <c r="R36" s="88"/>
      <c r="S36" s="88"/>
      <c r="T36" s="89"/>
      <c r="U36" s="89"/>
      <c r="V36" s="152"/>
      <c r="W36" s="233"/>
      <c r="X36" s="100"/>
      <c r="Y36" s="125"/>
      <c r="Z36" s="100"/>
      <c r="AA36" s="472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116"/>
      <c r="AR36" s="116"/>
    </row>
    <row r="37" spans="1:44" x14ac:dyDescent="0.2">
      <c r="A37" s="145" t="s">
        <v>928</v>
      </c>
      <c r="B37" s="145" t="s">
        <v>927</v>
      </c>
      <c r="C37" s="145" t="s">
        <v>575</v>
      </c>
      <c r="D37" s="101">
        <v>10</v>
      </c>
      <c r="E37" s="91">
        <v>0.1</v>
      </c>
      <c r="F37" s="88">
        <v>42185</v>
      </c>
      <c r="G37" s="90">
        <f>D37*12</f>
        <v>120</v>
      </c>
      <c r="H37" s="201">
        <f>100/G37</f>
        <v>0.83333333333333337</v>
      </c>
      <c r="I37" s="233">
        <f>H37*J37</f>
        <v>14.166666666666668</v>
      </c>
      <c r="J37" s="90">
        <f>(YEAR(F37)-YEAR(S37))*12+MONTH(F37)-MONTH(S37)</f>
        <v>17</v>
      </c>
      <c r="K37" s="233">
        <f>L37*H37</f>
        <v>85.833333333333343</v>
      </c>
      <c r="L37" s="90">
        <f>G37-J37</f>
        <v>103</v>
      </c>
      <c r="M37" s="233">
        <f>N37*H37</f>
        <v>5.8333333333333339</v>
      </c>
      <c r="N37" s="90">
        <v>7</v>
      </c>
      <c r="O37" s="233">
        <f>P37*H37</f>
        <v>80</v>
      </c>
      <c r="P37" s="90">
        <f>L37-N37</f>
        <v>96</v>
      </c>
      <c r="Q37" s="88">
        <v>45292</v>
      </c>
      <c r="R37" s="88" t="s">
        <v>595</v>
      </c>
      <c r="S37" s="88">
        <v>41640</v>
      </c>
      <c r="T37" s="89">
        <v>1650</v>
      </c>
      <c r="U37" s="89">
        <f>T37*I37%</f>
        <v>233.75000000000003</v>
      </c>
      <c r="V37" s="152">
        <f>T37-U37</f>
        <v>1416.25</v>
      </c>
      <c r="W37" s="233">
        <f>T37*H37%</f>
        <v>13.75</v>
      </c>
      <c r="X37" s="100">
        <f>W37*5</f>
        <v>68.75</v>
      </c>
      <c r="Y37" s="125">
        <f>V37-X37</f>
        <v>1347.5</v>
      </c>
      <c r="Z37" s="100">
        <v>115.958</v>
      </c>
      <c r="AA37" s="472">
        <v>112.505</v>
      </c>
      <c r="AB37" s="98">
        <f>Z37/AA37</f>
        <v>1.0306919692458114</v>
      </c>
      <c r="AC37" s="98">
        <f>Y37*M37/100/K37*100/7</f>
        <v>13.082524271844662</v>
      </c>
      <c r="AD37" s="98">
        <f>AC37*AB37</f>
        <v>13.484052704453699</v>
      </c>
      <c r="AE37" s="98"/>
      <c r="AF37" s="98"/>
      <c r="AG37" s="98"/>
      <c r="AH37" s="98"/>
      <c r="AI37" s="98"/>
      <c r="AJ37" s="98">
        <f t="shared" ref="AJ37:AP38" si="10">$AD37</f>
        <v>13.484052704453699</v>
      </c>
      <c r="AK37" s="98">
        <f t="shared" si="10"/>
        <v>13.484052704453699</v>
      </c>
      <c r="AL37" s="98">
        <f t="shared" si="10"/>
        <v>13.484052704453699</v>
      </c>
      <c r="AM37" s="98">
        <f t="shared" si="10"/>
        <v>13.484052704453699</v>
      </c>
      <c r="AN37" s="98">
        <f t="shared" si="10"/>
        <v>13.484052704453699</v>
      </c>
      <c r="AO37" s="98">
        <f t="shared" si="10"/>
        <v>13.484052704453699</v>
      </c>
      <c r="AP37" s="98">
        <f t="shared" si="10"/>
        <v>13.484052704453699</v>
      </c>
      <c r="AQ37" s="116">
        <f>SUM(AE37:AP37)</f>
        <v>94.388368931175904</v>
      </c>
      <c r="AR37" s="116">
        <f>Y37-AQ37</f>
        <v>1253.1116310688242</v>
      </c>
    </row>
    <row r="38" spans="1:44" x14ac:dyDescent="0.2">
      <c r="A38" s="145" t="s">
        <v>926</v>
      </c>
      <c r="B38" s="145" t="s">
        <v>925</v>
      </c>
      <c r="C38" s="145" t="s">
        <v>575</v>
      </c>
      <c r="D38" s="101">
        <v>5</v>
      </c>
      <c r="E38" s="91">
        <v>0.2</v>
      </c>
      <c r="F38" s="88">
        <v>42185</v>
      </c>
      <c r="G38" s="90">
        <f>D38*12</f>
        <v>60</v>
      </c>
      <c r="H38" s="201">
        <f>100/G38</f>
        <v>1.6666666666666667</v>
      </c>
      <c r="I38" s="233">
        <f>H38*J38</f>
        <v>28.333333333333336</v>
      </c>
      <c r="J38" s="90">
        <f>(YEAR(F38)-YEAR(S38))*12+MONTH(F38)-MONTH(S38)</f>
        <v>17</v>
      </c>
      <c r="K38" s="233">
        <f>L38*H38</f>
        <v>71.666666666666671</v>
      </c>
      <c r="L38" s="90">
        <f>G38-J38</f>
        <v>43</v>
      </c>
      <c r="M38" s="233">
        <f>N38*H38</f>
        <v>11.666666666666668</v>
      </c>
      <c r="N38" s="90">
        <v>7</v>
      </c>
      <c r="O38" s="233">
        <f>P38*H38</f>
        <v>60</v>
      </c>
      <c r="P38" s="90">
        <f>L38-N38</f>
        <v>36</v>
      </c>
      <c r="Q38" s="88">
        <v>45292</v>
      </c>
      <c r="R38" s="88" t="s">
        <v>595</v>
      </c>
      <c r="S38" s="88">
        <v>41640</v>
      </c>
      <c r="T38" s="89">
        <f>119*2</f>
        <v>238</v>
      </c>
      <c r="U38" s="89">
        <f>T38*I38%</f>
        <v>67.433333333333351</v>
      </c>
      <c r="V38" s="152">
        <f>T38-U38</f>
        <v>170.56666666666666</v>
      </c>
      <c r="W38" s="233">
        <f>T38*H38%</f>
        <v>3.9666666666666668</v>
      </c>
      <c r="X38" s="100">
        <f>W38*5</f>
        <v>19.833333333333336</v>
      </c>
      <c r="Y38" s="125">
        <f>V38-X38</f>
        <v>150.73333333333332</v>
      </c>
      <c r="Z38" s="100">
        <v>115.958</v>
      </c>
      <c r="AA38" s="472">
        <v>112.505</v>
      </c>
      <c r="AB38" s="98">
        <f>Z38/AA38</f>
        <v>1.0306919692458114</v>
      </c>
      <c r="AC38" s="98">
        <f>Y38*M38/100/K38*100/7</f>
        <v>3.5054263565891475</v>
      </c>
      <c r="AD38" s="98">
        <f>AC38*AB38</f>
        <v>3.6130147945190383</v>
      </c>
      <c r="AE38" s="98"/>
      <c r="AF38" s="98"/>
      <c r="AG38" s="98"/>
      <c r="AH38" s="98"/>
      <c r="AI38" s="98"/>
      <c r="AJ38" s="98">
        <f t="shared" si="10"/>
        <v>3.6130147945190383</v>
      </c>
      <c r="AK38" s="98">
        <f t="shared" si="10"/>
        <v>3.6130147945190383</v>
      </c>
      <c r="AL38" s="98">
        <f t="shared" si="10"/>
        <v>3.6130147945190383</v>
      </c>
      <c r="AM38" s="98">
        <f t="shared" si="10"/>
        <v>3.6130147945190383</v>
      </c>
      <c r="AN38" s="98">
        <f t="shared" si="10"/>
        <v>3.6130147945190383</v>
      </c>
      <c r="AO38" s="98">
        <f t="shared" si="10"/>
        <v>3.6130147945190383</v>
      </c>
      <c r="AP38" s="98">
        <f t="shared" si="10"/>
        <v>3.6130147945190383</v>
      </c>
      <c r="AQ38" s="116">
        <f>SUM(AE38:AP38)</f>
        <v>25.291103561633268</v>
      </c>
      <c r="AR38" s="116">
        <f>Y38-AQ38</f>
        <v>125.44222977170006</v>
      </c>
    </row>
    <row r="39" spans="1:44" x14ac:dyDescent="0.2">
      <c r="A39" s="172" t="s">
        <v>74</v>
      </c>
      <c r="B39" s="172"/>
      <c r="C39" s="172"/>
      <c r="D39" s="101"/>
      <c r="E39" s="91"/>
      <c r="F39" s="88"/>
      <c r="G39" s="90"/>
      <c r="H39" s="201"/>
      <c r="I39" s="233"/>
      <c r="J39" s="90"/>
      <c r="K39" s="233"/>
      <c r="L39" s="90"/>
      <c r="M39" s="233"/>
      <c r="N39" s="90"/>
      <c r="O39" s="233"/>
      <c r="P39" s="90"/>
      <c r="Q39" s="88"/>
      <c r="R39" s="88"/>
      <c r="S39" s="88"/>
      <c r="T39" s="89"/>
      <c r="U39" s="89"/>
      <c r="V39" s="152"/>
      <c r="W39" s="233"/>
      <c r="X39" s="100"/>
      <c r="Y39" s="125"/>
      <c r="Z39" s="100"/>
      <c r="AA39" s="472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116"/>
      <c r="AR39" s="116"/>
    </row>
    <row r="40" spans="1:44" x14ac:dyDescent="0.2">
      <c r="A40" s="172" t="s">
        <v>102</v>
      </c>
      <c r="B40" s="145"/>
      <c r="C40" s="145"/>
      <c r="D40" s="101"/>
      <c r="E40" s="91"/>
      <c r="F40" s="88"/>
      <c r="G40" s="90"/>
      <c r="H40" s="201"/>
      <c r="I40" s="233"/>
      <c r="J40" s="90"/>
      <c r="K40" s="233"/>
      <c r="L40" s="90"/>
      <c r="M40" s="233"/>
      <c r="N40" s="90"/>
      <c r="O40" s="233"/>
      <c r="P40" s="90"/>
      <c r="Q40" s="88"/>
      <c r="R40" s="88"/>
      <c r="S40" s="88"/>
      <c r="T40" s="89"/>
      <c r="U40" s="89"/>
      <c r="V40" s="152"/>
      <c r="W40" s="233"/>
      <c r="X40" s="100"/>
      <c r="Y40" s="125"/>
      <c r="Z40" s="100"/>
      <c r="AA40" s="472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116"/>
      <c r="AR40" s="116"/>
    </row>
    <row r="41" spans="1:44" x14ac:dyDescent="0.2">
      <c r="A41" s="145" t="s">
        <v>924</v>
      </c>
      <c r="B41" s="145" t="s">
        <v>923</v>
      </c>
      <c r="C41" s="145" t="s">
        <v>575</v>
      </c>
      <c r="D41" s="101">
        <v>10</v>
      </c>
      <c r="E41" s="91">
        <v>0.1</v>
      </c>
      <c r="F41" s="88">
        <v>42185</v>
      </c>
      <c r="G41" s="90">
        <f>D41*12</f>
        <v>120</v>
      </c>
      <c r="H41" s="201">
        <f>100/G41</f>
        <v>0.83333333333333337</v>
      </c>
      <c r="I41" s="233">
        <f>H41*J41</f>
        <v>14.166666666666668</v>
      </c>
      <c r="J41" s="90">
        <f>(YEAR(F41)-YEAR(S41))*12+MONTH(F41)-MONTH(S41)</f>
        <v>17</v>
      </c>
      <c r="K41" s="233">
        <f>L41*H41</f>
        <v>85.833333333333343</v>
      </c>
      <c r="L41" s="90">
        <f>G41-J41</f>
        <v>103</v>
      </c>
      <c r="M41" s="233">
        <f>N41*H41</f>
        <v>5.8333333333333339</v>
      </c>
      <c r="N41" s="90">
        <v>7</v>
      </c>
      <c r="O41" s="233">
        <f>P41*H41</f>
        <v>80</v>
      </c>
      <c r="P41" s="90">
        <f>L41-N41</f>
        <v>96</v>
      </c>
      <c r="Q41" s="88">
        <v>45292</v>
      </c>
      <c r="R41" s="88" t="s">
        <v>595</v>
      </c>
      <c r="S41" s="88">
        <v>41640</v>
      </c>
      <c r="T41" s="89">
        <v>1780</v>
      </c>
      <c r="U41" s="89">
        <f>T41*I41%</f>
        <v>252.16666666666671</v>
      </c>
      <c r="V41" s="152">
        <f>T41-U41</f>
        <v>1527.8333333333333</v>
      </c>
      <c r="W41" s="233">
        <f>T41*H41%</f>
        <v>14.833333333333334</v>
      </c>
      <c r="X41" s="100">
        <f>W41*5</f>
        <v>74.166666666666671</v>
      </c>
      <c r="Y41" s="125">
        <f>V41-X41</f>
        <v>1453.6666666666665</v>
      </c>
      <c r="Z41" s="100">
        <v>115.958</v>
      </c>
      <c r="AA41" s="472">
        <v>112.505</v>
      </c>
      <c r="AB41" s="98">
        <f>Z41/AA41</f>
        <v>1.0306919692458114</v>
      </c>
      <c r="AC41" s="98">
        <f>Y41*M41/100/K41*100/7</f>
        <v>14.11326860841424</v>
      </c>
      <c r="AD41" s="98">
        <f>AC41*AB41</f>
        <v>14.546432614501565</v>
      </c>
      <c r="AE41" s="98"/>
      <c r="AF41" s="98"/>
      <c r="AG41" s="98"/>
      <c r="AH41" s="98"/>
      <c r="AI41" s="98"/>
      <c r="AJ41" s="98">
        <f t="shared" ref="AJ41:AP42" si="11">$AD41</f>
        <v>14.546432614501565</v>
      </c>
      <c r="AK41" s="98">
        <f t="shared" si="11"/>
        <v>14.546432614501565</v>
      </c>
      <c r="AL41" s="98">
        <f t="shared" si="11"/>
        <v>14.546432614501565</v>
      </c>
      <c r="AM41" s="98">
        <f t="shared" si="11"/>
        <v>14.546432614501565</v>
      </c>
      <c r="AN41" s="98">
        <f t="shared" si="11"/>
        <v>14.546432614501565</v>
      </c>
      <c r="AO41" s="98">
        <f t="shared" si="11"/>
        <v>14.546432614501565</v>
      </c>
      <c r="AP41" s="98">
        <f t="shared" si="11"/>
        <v>14.546432614501565</v>
      </c>
      <c r="AQ41" s="116">
        <f>SUM(AE41:AP41)</f>
        <v>101.82502830151097</v>
      </c>
      <c r="AR41" s="116">
        <f>Y41-AQ41</f>
        <v>1351.8416383651556</v>
      </c>
    </row>
    <row r="42" spans="1:44" x14ac:dyDescent="0.2">
      <c r="A42" s="145" t="s">
        <v>922</v>
      </c>
      <c r="B42" s="145" t="s">
        <v>921</v>
      </c>
      <c r="C42" s="145" t="s">
        <v>575</v>
      </c>
      <c r="D42" s="101">
        <v>10</v>
      </c>
      <c r="E42" s="91">
        <v>0.1</v>
      </c>
      <c r="F42" s="88">
        <v>42185</v>
      </c>
      <c r="G42" s="90">
        <f>D42*12</f>
        <v>120</v>
      </c>
      <c r="H42" s="201">
        <f>100/G42</f>
        <v>0.83333333333333337</v>
      </c>
      <c r="I42" s="233">
        <f>H42*J42</f>
        <v>14.166666666666668</v>
      </c>
      <c r="J42" s="90">
        <f>(YEAR(F42)-YEAR(S42))*12+MONTH(F42)-MONTH(S42)</f>
        <v>17</v>
      </c>
      <c r="K42" s="233">
        <f>L42*H42</f>
        <v>85.833333333333343</v>
      </c>
      <c r="L42" s="90">
        <f>G42-J42</f>
        <v>103</v>
      </c>
      <c r="M42" s="233">
        <f>N42*H42</f>
        <v>5.8333333333333339</v>
      </c>
      <c r="N42" s="90">
        <v>7</v>
      </c>
      <c r="O42" s="233">
        <f>P42*H42</f>
        <v>80</v>
      </c>
      <c r="P42" s="90">
        <f>L42-N42</f>
        <v>96</v>
      </c>
      <c r="Q42" s="88">
        <v>45292</v>
      </c>
      <c r="R42" s="88" t="s">
        <v>595</v>
      </c>
      <c r="S42" s="88">
        <v>41640</v>
      </c>
      <c r="T42" s="89">
        <v>1780</v>
      </c>
      <c r="U42" s="89">
        <f>T42*I42%</f>
        <v>252.16666666666671</v>
      </c>
      <c r="V42" s="152">
        <f>T42-U42</f>
        <v>1527.8333333333333</v>
      </c>
      <c r="W42" s="233">
        <f>T42*H42%</f>
        <v>14.833333333333334</v>
      </c>
      <c r="X42" s="100">
        <f>W42*5</f>
        <v>74.166666666666671</v>
      </c>
      <c r="Y42" s="125">
        <f>V42-X42</f>
        <v>1453.6666666666665</v>
      </c>
      <c r="Z42" s="100">
        <v>115.958</v>
      </c>
      <c r="AA42" s="472">
        <v>112.505</v>
      </c>
      <c r="AB42" s="98">
        <f>Z42/AA42</f>
        <v>1.0306919692458114</v>
      </c>
      <c r="AC42" s="98">
        <f>Y42*M42/100/K42*100/7</f>
        <v>14.11326860841424</v>
      </c>
      <c r="AD42" s="98">
        <f>AC42*AB42</f>
        <v>14.546432614501565</v>
      </c>
      <c r="AE42" s="98"/>
      <c r="AF42" s="98"/>
      <c r="AG42" s="98"/>
      <c r="AH42" s="98"/>
      <c r="AI42" s="98"/>
      <c r="AJ42" s="98">
        <f t="shared" si="11"/>
        <v>14.546432614501565</v>
      </c>
      <c r="AK42" s="98">
        <f t="shared" si="11"/>
        <v>14.546432614501565</v>
      </c>
      <c r="AL42" s="98">
        <f t="shared" si="11"/>
        <v>14.546432614501565</v>
      </c>
      <c r="AM42" s="98">
        <f t="shared" si="11"/>
        <v>14.546432614501565</v>
      </c>
      <c r="AN42" s="98">
        <f t="shared" si="11"/>
        <v>14.546432614501565</v>
      </c>
      <c r="AO42" s="98">
        <f t="shared" si="11"/>
        <v>14.546432614501565</v>
      </c>
      <c r="AP42" s="98">
        <f t="shared" si="11"/>
        <v>14.546432614501565</v>
      </c>
      <c r="AQ42" s="116">
        <f>SUM(AE42:AP42)</f>
        <v>101.82502830151097</v>
      </c>
      <c r="AR42" s="116">
        <f>Y42-AQ42</f>
        <v>1351.8416383651556</v>
      </c>
    </row>
    <row r="43" spans="1:44" x14ac:dyDescent="0.2">
      <c r="A43" s="172" t="s">
        <v>74</v>
      </c>
      <c r="B43" s="172" t="s">
        <v>90</v>
      </c>
      <c r="C43" s="172"/>
      <c r="D43" s="101"/>
      <c r="E43" s="91"/>
      <c r="F43" s="88"/>
      <c r="G43" s="90"/>
      <c r="H43" s="201"/>
      <c r="I43" s="233"/>
      <c r="J43" s="90"/>
      <c r="K43" s="233"/>
      <c r="L43" s="90"/>
      <c r="M43" s="233"/>
      <c r="N43" s="90"/>
      <c r="O43" s="233"/>
      <c r="P43" s="90"/>
      <c r="Q43" s="88"/>
      <c r="R43" s="88"/>
      <c r="S43" s="88"/>
      <c r="T43" s="89"/>
      <c r="U43" s="89"/>
      <c r="V43" s="152"/>
      <c r="W43" s="233"/>
      <c r="X43" s="100"/>
      <c r="Y43" s="125"/>
      <c r="Z43" s="100"/>
      <c r="AA43" s="472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116"/>
      <c r="AR43" s="116"/>
    </row>
    <row r="44" spans="1:44" x14ac:dyDescent="0.2">
      <c r="A44" s="172" t="s">
        <v>110</v>
      </c>
      <c r="B44" s="145"/>
      <c r="C44" s="145"/>
      <c r="D44" s="101"/>
      <c r="E44" s="91"/>
      <c r="F44" s="88"/>
      <c r="G44" s="90"/>
      <c r="H44" s="201"/>
      <c r="I44" s="233"/>
      <c r="J44" s="90"/>
      <c r="K44" s="233"/>
      <c r="L44" s="90"/>
      <c r="M44" s="233"/>
      <c r="N44" s="90"/>
      <c r="O44" s="233"/>
      <c r="P44" s="90"/>
      <c r="Q44" s="88"/>
      <c r="R44" s="88"/>
      <c r="S44" s="88"/>
      <c r="T44" s="89"/>
      <c r="U44" s="89"/>
      <c r="V44" s="152"/>
      <c r="W44" s="233"/>
      <c r="X44" s="100"/>
      <c r="Y44" s="125"/>
      <c r="Z44" s="100"/>
      <c r="AA44" s="472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116"/>
      <c r="AR44" s="116"/>
    </row>
    <row r="45" spans="1:44" x14ac:dyDescent="0.2">
      <c r="A45" s="145" t="s">
        <v>920</v>
      </c>
      <c r="B45" s="145" t="s">
        <v>919</v>
      </c>
      <c r="C45" s="145" t="s">
        <v>575</v>
      </c>
      <c r="D45" s="101">
        <v>10</v>
      </c>
      <c r="E45" s="91">
        <v>0.1</v>
      </c>
      <c r="F45" s="88">
        <v>42185</v>
      </c>
      <c r="G45" s="90">
        <f>D45*12</f>
        <v>120</v>
      </c>
      <c r="H45" s="201">
        <f>100/G45</f>
        <v>0.83333333333333337</v>
      </c>
      <c r="I45" s="233">
        <f>H45*J45</f>
        <v>14.166666666666668</v>
      </c>
      <c r="J45" s="90">
        <f>(YEAR(F45)-YEAR(S45))*12+MONTH(F45)-MONTH(S45)</f>
        <v>17</v>
      </c>
      <c r="K45" s="233">
        <f>L45*H45</f>
        <v>85.833333333333343</v>
      </c>
      <c r="L45" s="90">
        <f>G45-J45</f>
        <v>103</v>
      </c>
      <c r="M45" s="233">
        <f>N45*H45</f>
        <v>5.8333333333333339</v>
      </c>
      <c r="N45" s="90">
        <v>7</v>
      </c>
      <c r="O45" s="233">
        <f>P45*H45</f>
        <v>80</v>
      </c>
      <c r="P45" s="90">
        <f>L45-N45</f>
        <v>96</v>
      </c>
      <c r="Q45" s="88">
        <v>45292</v>
      </c>
      <c r="R45" s="88" t="s">
        <v>595</v>
      </c>
      <c r="S45" s="88">
        <v>41640</v>
      </c>
      <c r="T45" s="89">
        <v>1200</v>
      </c>
      <c r="U45" s="89">
        <f>T45*I45%</f>
        <v>170.00000000000003</v>
      </c>
      <c r="V45" s="152">
        <f>T45-U45</f>
        <v>1030</v>
      </c>
      <c r="W45" s="233">
        <f>T45*H45%</f>
        <v>10</v>
      </c>
      <c r="X45" s="100">
        <f>W45*5</f>
        <v>50</v>
      </c>
      <c r="Y45" s="125">
        <f>V45-X45</f>
        <v>980</v>
      </c>
      <c r="Z45" s="100">
        <v>115.958</v>
      </c>
      <c r="AA45" s="472">
        <v>112.505</v>
      </c>
      <c r="AB45" s="98">
        <f>Z45/AA45</f>
        <v>1.0306919692458114</v>
      </c>
      <c r="AC45" s="98">
        <f>Y45*M45/100/K45*100/7</f>
        <v>9.5145631067961158</v>
      </c>
      <c r="AD45" s="98">
        <f>AC45*AB45</f>
        <v>9.8065837850572333</v>
      </c>
      <c r="AE45" s="98"/>
      <c r="AF45" s="98"/>
      <c r="AG45" s="98"/>
      <c r="AH45" s="98"/>
      <c r="AI45" s="98"/>
      <c r="AJ45" s="98">
        <f t="shared" ref="AJ45:AP45" si="12">$AD45</f>
        <v>9.8065837850572333</v>
      </c>
      <c r="AK45" s="98">
        <f t="shared" si="12"/>
        <v>9.8065837850572333</v>
      </c>
      <c r="AL45" s="98">
        <f t="shared" si="12"/>
        <v>9.8065837850572333</v>
      </c>
      <c r="AM45" s="98">
        <f t="shared" si="12"/>
        <v>9.8065837850572333</v>
      </c>
      <c r="AN45" s="98">
        <f t="shared" si="12"/>
        <v>9.8065837850572333</v>
      </c>
      <c r="AO45" s="98">
        <f t="shared" si="12"/>
        <v>9.8065837850572333</v>
      </c>
      <c r="AP45" s="98">
        <f t="shared" si="12"/>
        <v>9.8065837850572333</v>
      </c>
      <c r="AQ45" s="116">
        <f>SUM(AE45:AP45)</f>
        <v>68.646086495400638</v>
      </c>
      <c r="AR45" s="116">
        <f>Y45-AQ45</f>
        <v>911.3539135045994</v>
      </c>
    </row>
    <row r="46" spans="1:44" s="22" customFormat="1" x14ac:dyDescent="0.2">
      <c r="A46" s="172" t="s">
        <v>68</v>
      </c>
      <c r="B46" s="172"/>
      <c r="C46" s="87"/>
      <c r="D46" s="157"/>
      <c r="E46" s="184"/>
      <c r="F46" s="88"/>
      <c r="G46" s="179"/>
      <c r="H46" s="201"/>
      <c r="I46" s="90"/>
      <c r="J46" s="90"/>
      <c r="K46" s="90"/>
      <c r="L46" s="90"/>
      <c r="M46" s="90"/>
      <c r="N46" s="90"/>
      <c r="O46" s="90"/>
      <c r="P46" s="90"/>
      <c r="Q46" s="90"/>
      <c r="R46" s="171"/>
      <c r="S46" s="171"/>
      <c r="T46" s="188"/>
      <c r="U46" s="188"/>
      <c r="V46" s="154"/>
      <c r="W46" s="233">
        <v>0</v>
      </c>
      <c r="X46" s="110"/>
      <c r="Y46" s="237"/>
      <c r="Z46" s="100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116"/>
      <c r="AQ46" s="116"/>
      <c r="AR46" s="116"/>
    </row>
    <row r="47" spans="1:44" s="22" customFormat="1" x14ac:dyDescent="0.2">
      <c r="A47" s="172" t="s">
        <v>114</v>
      </c>
      <c r="B47" s="145"/>
      <c r="C47" s="87"/>
      <c r="D47" s="12"/>
      <c r="E47" s="184"/>
      <c r="F47" s="179"/>
      <c r="G47" s="179"/>
      <c r="H47" s="202"/>
      <c r="I47" s="179"/>
      <c r="J47" s="179"/>
      <c r="K47" s="179"/>
      <c r="L47" s="179"/>
      <c r="M47" s="179"/>
      <c r="N47" s="179"/>
      <c r="O47" s="179"/>
      <c r="P47" s="179"/>
      <c r="Q47" s="179"/>
      <c r="R47" s="171"/>
      <c r="S47" s="171"/>
      <c r="T47" s="188"/>
      <c r="U47" s="188"/>
      <c r="V47" s="154"/>
      <c r="W47" s="110"/>
      <c r="X47" s="110"/>
      <c r="Y47" s="237"/>
      <c r="Z47" s="110"/>
      <c r="AA47" s="109"/>
      <c r="AB47" s="109"/>
      <c r="AC47" s="109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116"/>
      <c r="AQ47" s="116"/>
      <c r="AR47" s="116"/>
    </row>
    <row r="48" spans="1:44" s="22" customFormat="1" x14ac:dyDescent="0.2">
      <c r="A48" s="145" t="s">
        <v>918</v>
      </c>
      <c r="B48" s="145" t="s">
        <v>917</v>
      </c>
      <c r="C48" s="87" t="s">
        <v>575</v>
      </c>
      <c r="D48" s="101">
        <v>10</v>
      </c>
      <c r="E48" s="96">
        <v>0.1</v>
      </c>
      <c r="F48" s="88">
        <v>42334</v>
      </c>
      <c r="G48" s="90">
        <v>120</v>
      </c>
      <c r="H48" s="201">
        <f>100/G48</f>
        <v>0.83333333333333337</v>
      </c>
      <c r="I48" s="233">
        <f>H48*J48</f>
        <v>0</v>
      </c>
      <c r="J48" s="90">
        <f>(YEAR(F48)-YEAR(S48))*12+MONTH(F48)-MONTH(S48)</f>
        <v>0</v>
      </c>
      <c r="K48" s="233">
        <f>L48*H48</f>
        <v>100</v>
      </c>
      <c r="L48" s="90">
        <f>G48-J48</f>
        <v>120</v>
      </c>
      <c r="M48" s="233">
        <f>N48*H48</f>
        <v>0.83333333333333337</v>
      </c>
      <c r="N48" s="90">
        <v>1</v>
      </c>
      <c r="O48" s="233">
        <f>P48*H48</f>
        <v>99.166666666666671</v>
      </c>
      <c r="P48" s="90">
        <f>L48-N48</f>
        <v>119</v>
      </c>
      <c r="Q48" s="90">
        <v>0</v>
      </c>
      <c r="R48" s="90">
        <v>291</v>
      </c>
      <c r="S48" s="88">
        <v>42334</v>
      </c>
      <c r="T48" s="89">
        <v>734</v>
      </c>
      <c r="U48" s="100">
        <v>0</v>
      </c>
      <c r="V48" s="98">
        <v>0</v>
      </c>
      <c r="Y48" s="472">
        <v>0</v>
      </c>
      <c r="Z48" s="100">
        <v>115.958</v>
      </c>
      <c r="AA48" s="502">
        <v>118.051</v>
      </c>
      <c r="AB48" s="98">
        <f>Z48/AA48</f>
        <v>0.98227037466857536</v>
      </c>
      <c r="AC48" s="98">
        <f>M48*T48/100</f>
        <v>6.1166666666666671</v>
      </c>
      <c r="AD48" s="98">
        <f>AC48*AB48</f>
        <v>6.0082204583894532</v>
      </c>
      <c r="AE48" s="98"/>
      <c r="AF48" s="98"/>
      <c r="AG48" s="98"/>
      <c r="AH48" s="98"/>
      <c r="AI48" s="98"/>
      <c r="AJ48" s="98"/>
      <c r="AK48" s="116"/>
      <c r="AL48" s="116"/>
      <c r="AM48" s="116"/>
      <c r="AN48" s="116"/>
      <c r="AO48" s="116"/>
      <c r="AP48" s="116">
        <f>6.01</f>
        <v>6.01</v>
      </c>
      <c r="AQ48" s="116">
        <f>6.01</f>
        <v>6.01</v>
      </c>
      <c r="AR48" s="116">
        <f>T48-AQ48</f>
        <v>727.99</v>
      </c>
    </row>
    <row r="49" spans="1:44" x14ac:dyDescent="0.2">
      <c r="A49" s="172" t="s">
        <v>68</v>
      </c>
      <c r="B49" s="172" t="s">
        <v>93</v>
      </c>
      <c r="C49" s="172"/>
      <c r="D49" s="101"/>
      <c r="E49" s="91"/>
      <c r="F49" s="88"/>
      <c r="G49" s="90"/>
      <c r="H49" s="201"/>
      <c r="I49" s="233"/>
      <c r="J49" s="90"/>
      <c r="K49" s="233"/>
      <c r="L49" s="90"/>
      <c r="M49" s="233"/>
      <c r="N49" s="90"/>
      <c r="O49" s="233"/>
      <c r="P49" s="90"/>
      <c r="Q49" s="88"/>
      <c r="R49" s="88"/>
      <c r="S49" s="88"/>
      <c r="T49" s="89"/>
      <c r="U49" s="89"/>
      <c r="V49" s="152"/>
      <c r="W49" s="233"/>
      <c r="X49" s="100"/>
      <c r="Y49" s="125"/>
      <c r="Z49" s="100"/>
      <c r="AA49" s="472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116"/>
      <c r="AR49" s="116"/>
    </row>
    <row r="50" spans="1:44" x14ac:dyDescent="0.2">
      <c r="A50" s="172" t="s">
        <v>82</v>
      </c>
      <c r="B50" s="145"/>
      <c r="C50" s="145"/>
      <c r="D50" s="101"/>
      <c r="E50" s="91"/>
      <c r="F50" s="88"/>
      <c r="G50" s="90"/>
      <c r="H50" s="201"/>
      <c r="I50" s="233"/>
      <c r="J50" s="90"/>
      <c r="K50" s="233"/>
      <c r="L50" s="90"/>
      <c r="M50" s="233"/>
      <c r="N50" s="90"/>
      <c r="O50" s="233"/>
      <c r="P50" s="90"/>
      <c r="Q50" s="88"/>
      <c r="R50" s="88"/>
      <c r="S50" s="88"/>
      <c r="T50" s="89"/>
      <c r="U50" s="89"/>
      <c r="V50" s="152"/>
      <c r="W50" s="233"/>
      <c r="X50" s="100"/>
      <c r="Y50" s="125"/>
      <c r="Z50" s="100"/>
      <c r="AA50" s="472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116"/>
      <c r="AR50" s="116"/>
    </row>
    <row r="51" spans="1:44" x14ac:dyDescent="0.2">
      <c r="A51" s="145" t="s">
        <v>916</v>
      </c>
      <c r="B51" s="145" t="s">
        <v>915</v>
      </c>
      <c r="C51" s="145" t="s">
        <v>575</v>
      </c>
      <c r="D51" s="101">
        <v>10</v>
      </c>
      <c r="E51" s="91">
        <v>0.1</v>
      </c>
      <c r="F51" s="88">
        <v>42185</v>
      </c>
      <c r="G51" s="90">
        <f>D51*12</f>
        <v>120</v>
      </c>
      <c r="H51" s="201">
        <f>100/G51</f>
        <v>0.83333333333333337</v>
      </c>
      <c r="I51" s="233">
        <f>H51*J51</f>
        <v>14.166666666666668</v>
      </c>
      <c r="J51" s="90">
        <f>(YEAR(F51)-YEAR(S51))*12+MONTH(F51)-MONTH(S51)</f>
        <v>17</v>
      </c>
      <c r="K51" s="233">
        <f>L51*H51</f>
        <v>85.833333333333343</v>
      </c>
      <c r="L51" s="90">
        <f>G51-J51</f>
        <v>103</v>
      </c>
      <c r="M51" s="233">
        <f>N51*H51</f>
        <v>5.8333333333333339</v>
      </c>
      <c r="N51" s="90">
        <v>7</v>
      </c>
      <c r="O51" s="233">
        <f>P51*H51</f>
        <v>80</v>
      </c>
      <c r="P51" s="90">
        <f>L51-N51</f>
        <v>96</v>
      </c>
      <c r="Q51" s="88">
        <v>43466</v>
      </c>
      <c r="R51" s="88" t="s">
        <v>595</v>
      </c>
      <c r="S51" s="88">
        <v>41640</v>
      </c>
      <c r="T51" s="89">
        <v>845</v>
      </c>
      <c r="U51" s="89">
        <f>T51*I51%</f>
        <v>119.70833333333336</v>
      </c>
      <c r="V51" s="152">
        <f>T51-U51</f>
        <v>725.29166666666663</v>
      </c>
      <c r="W51" s="233">
        <f>T51*H51%</f>
        <v>7.041666666666667</v>
      </c>
      <c r="X51" s="100">
        <f>W51*5</f>
        <v>35.208333333333336</v>
      </c>
      <c r="Y51" s="125">
        <f>V51-X51</f>
        <v>690.08333333333326</v>
      </c>
      <c r="Z51" s="100">
        <v>115.958</v>
      </c>
      <c r="AA51" s="472">
        <v>112.505</v>
      </c>
      <c r="AB51" s="98">
        <f>Z51/AA51</f>
        <v>1.0306919692458114</v>
      </c>
      <c r="AC51" s="98">
        <f>Y51*M51/100/K51*100/7</f>
        <v>6.6998381877022641</v>
      </c>
      <c r="AD51" s="98">
        <f>AC51*AB51</f>
        <v>6.9054694153111349</v>
      </c>
      <c r="AE51" s="98"/>
      <c r="AF51" s="98"/>
      <c r="AG51" s="98"/>
      <c r="AH51" s="98"/>
      <c r="AI51" s="98"/>
      <c r="AJ51" s="98">
        <f t="shared" ref="AJ51:AP51" si="13">$AD51</f>
        <v>6.9054694153111349</v>
      </c>
      <c r="AK51" s="98">
        <f t="shared" si="13"/>
        <v>6.9054694153111349</v>
      </c>
      <c r="AL51" s="98">
        <f t="shared" si="13"/>
        <v>6.9054694153111349</v>
      </c>
      <c r="AM51" s="98">
        <f t="shared" si="13"/>
        <v>6.9054694153111349</v>
      </c>
      <c r="AN51" s="98">
        <f t="shared" si="13"/>
        <v>6.9054694153111349</v>
      </c>
      <c r="AO51" s="98">
        <f t="shared" si="13"/>
        <v>6.9054694153111349</v>
      </c>
      <c r="AP51" s="98">
        <f t="shared" si="13"/>
        <v>6.9054694153111349</v>
      </c>
      <c r="AQ51" s="116">
        <f>SUM(AE51:AP51)</f>
        <v>48.338285907177934</v>
      </c>
      <c r="AR51" s="116">
        <f>Y51-AQ51</f>
        <v>641.74504742615534</v>
      </c>
    </row>
    <row r="52" spans="1:44" x14ac:dyDescent="0.2">
      <c r="A52" s="172" t="s">
        <v>74</v>
      </c>
      <c r="B52" s="172"/>
      <c r="C52" s="172"/>
      <c r="D52" s="101"/>
      <c r="E52" s="91"/>
      <c r="F52" s="88"/>
      <c r="G52" s="90"/>
      <c r="H52" s="201"/>
      <c r="I52" s="233"/>
      <c r="J52" s="90"/>
      <c r="K52" s="233"/>
      <c r="L52" s="90"/>
      <c r="M52" s="233"/>
      <c r="N52" s="90"/>
      <c r="O52" s="233"/>
      <c r="P52" s="90"/>
      <c r="Q52" s="88"/>
      <c r="R52" s="88"/>
      <c r="S52" s="88"/>
      <c r="T52" s="89"/>
      <c r="U52" s="89"/>
      <c r="V52" s="152"/>
      <c r="W52" s="233"/>
      <c r="X52" s="100"/>
      <c r="Y52" s="125"/>
      <c r="Z52" s="100"/>
      <c r="AA52" s="472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116"/>
      <c r="AR52" s="116"/>
    </row>
    <row r="53" spans="1:44" x14ac:dyDescent="0.2">
      <c r="A53" s="172" t="s">
        <v>914</v>
      </c>
      <c r="B53" s="145"/>
      <c r="C53" s="145"/>
      <c r="D53" s="101"/>
      <c r="E53" s="91"/>
      <c r="F53" s="88"/>
      <c r="G53" s="90"/>
      <c r="H53" s="201"/>
      <c r="I53" s="233"/>
      <c r="J53" s="90"/>
      <c r="K53" s="233"/>
      <c r="L53" s="90"/>
      <c r="M53" s="233"/>
      <c r="N53" s="90"/>
      <c r="O53" s="233"/>
      <c r="P53" s="90"/>
      <c r="Q53" s="88"/>
      <c r="R53" s="88"/>
      <c r="S53" s="88"/>
      <c r="T53" s="89"/>
      <c r="U53" s="89"/>
      <c r="V53" s="152"/>
      <c r="W53" s="233"/>
      <c r="X53" s="100"/>
      <c r="Y53" s="125"/>
      <c r="Z53" s="100"/>
      <c r="AA53" s="472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116"/>
      <c r="AR53" s="116"/>
    </row>
    <row r="54" spans="1:44" x14ac:dyDescent="0.2">
      <c r="A54" s="145" t="s">
        <v>913</v>
      </c>
      <c r="B54" s="145" t="s">
        <v>912</v>
      </c>
      <c r="C54" s="145" t="s">
        <v>575</v>
      </c>
      <c r="D54" s="101">
        <v>3</v>
      </c>
      <c r="E54" s="91">
        <v>3.3300000000000003E-2</v>
      </c>
      <c r="F54" s="88">
        <v>42254</v>
      </c>
      <c r="G54" s="90">
        <f>D54*12</f>
        <v>36</v>
      </c>
      <c r="H54" s="201">
        <f>100/G54</f>
        <v>2.7777777777777777</v>
      </c>
      <c r="I54" s="233">
        <f>H54*J54</f>
        <v>0</v>
      </c>
      <c r="J54" s="90">
        <f>(YEAR(F54)-YEAR(S54))*12+MONTH(F54)-MONTH(S54)</f>
        <v>0</v>
      </c>
      <c r="K54" s="233">
        <f>L54*H54</f>
        <v>100</v>
      </c>
      <c r="L54" s="90">
        <f>G54-J54</f>
        <v>36</v>
      </c>
      <c r="M54" s="233">
        <f>N54*H54</f>
        <v>8.3333333333333321</v>
      </c>
      <c r="N54" s="90">
        <v>3</v>
      </c>
      <c r="O54" s="233">
        <f>P54*H54</f>
        <v>91.666666666666657</v>
      </c>
      <c r="P54" s="90">
        <f>L54-N54</f>
        <v>33</v>
      </c>
      <c r="Q54" s="88">
        <v>43350</v>
      </c>
      <c r="R54" s="88" t="s">
        <v>595</v>
      </c>
      <c r="S54" s="88">
        <v>42254</v>
      </c>
      <c r="T54" s="89">
        <v>12646</v>
      </c>
      <c r="U54" s="89">
        <f>T54*I54%</f>
        <v>0</v>
      </c>
      <c r="V54" s="152"/>
      <c r="W54" s="233"/>
      <c r="X54" s="100">
        <f>W54*5</f>
        <v>0</v>
      </c>
      <c r="Y54" s="125">
        <f>V54-X54</f>
        <v>0</v>
      </c>
      <c r="Z54" s="100">
        <v>115.958</v>
      </c>
      <c r="AA54" s="472">
        <v>116.809</v>
      </c>
      <c r="AB54" s="98">
        <f>Z54/AA54</f>
        <v>0.99271460247070009</v>
      </c>
      <c r="AC54" s="98">
        <f>H54*T54/100</f>
        <v>351.27777777777771</v>
      </c>
      <c r="AD54" s="98">
        <f>AC54*AB54</f>
        <v>348.71857952345755</v>
      </c>
      <c r="AE54" s="98"/>
      <c r="AF54" s="98"/>
      <c r="AG54" s="98"/>
      <c r="AH54" s="98"/>
      <c r="AI54" s="98"/>
      <c r="AJ54" s="98"/>
      <c r="AK54" s="98"/>
      <c r="AL54" s="98"/>
      <c r="AM54" s="98"/>
      <c r="AN54" s="98">
        <f>$AD54</f>
        <v>348.71857952345755</v>
      </c>
      <c r="AO54" s="98">
        <f>$AD54</f>
        <v>348.71857952345755</v>
      </c>
      <c r="AP54" s="98">
        <f>$AD54</f>
        <v>348.71857952345755</v>
      </c>
      <c r="AQ54" s="116">
        <f>SUM(AE54:AP54)</f>
        <v>1046.1557385703727</v>
      </c>
      <c r="AR54" s="116">
        <f>T54-AQ54</f>
        <v>11599.844261429627</v>
      </c>
    </row>
    <row r="55" spans="1:44" x14ac:dyDescent="0.2">
      <c r="A55" s="172" t="s">
        <v>74</v>
      </c>
      <c r="B55" s="172"/>
      <c r="C55" s="172"/>
      <c r="D55" s="101"/>
      <c r="E55" s="91"/>
      <c r="F55" s="88"/>
      <c r="G55" s="90"/>
      <c r="H55" s="201"/>
      <c r="I55" s="233"/>
      <c r="J55" s="90"/>
      <c r="K55" s="233"/>
      <c r="L55" s="90"/>
      <c r="M55" s="233"/>
      <c r="N55" s="90"/>
      <c r="O55" s="233"/>
      <c r="P55" s="90"/>
      <c r="Q55" s="88"/>
      <c r="R55" s="88"/>
      <c r="S55" s="88"/>
      <c r="T55" s="89"/>
      <c r="U55" s="89"/>
      <c r="V55" s="152"/>
      <c r="W55" s="233"/>
      <c r="X55" s="100"/>
      <c r="Y55" s="125"/>
      <c r="Z55" s="100"/>
      <c r="AA55" s="472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116"/>
      <c r="AR55" s="116"/>
    </row>
    <row r="56" spans="1:44" x14ac:dyDescent="0.2">
      <c r="A56" s="172" t="s">
        <v>1063</v>
      </c>
      <c r="B56" s="145"/>
      <c r="C56" s="145"/>
      <c r="D56" s="101"/>
      <c r="E56" s="91"/>
      <c r="F56" s="88"/>
      <c r="G56" s="90"/>
      <c r="H56" s="201"/>
      <c r="I56" s="233"/>
      <c r="J56" s="90"/>
      <c r="K56" s="233"/>
      <c r="L56" s="90"/>
      <c r="M56" s="233"/>
      <c r="N56" s="90"/>
      <c r="O56" s="233"/>
      <c r="P56" s="90"/>
      <c r="Q56" s="88"/>
      <c r="R56" s="88"/>
      <c r="S56" s="88"/>
      <c r="T56" s="89"/>
      <c r="U56" s="89"/>
      <c r="V56" s="152"/>
      <c r="W56" s="233"/>
      <c r="X56" s="100"/>
      <c r="Y56" s="125"/>
      <c r="Z56" s="100"/>
      <c r="AA56" s="472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116"/>
      <c r="AR56" s="116"/>
    </row>
    <row r="57" spans="1:44" x14ac:dyDescent="0.2">
      <c r="A57" s="434" t="s">
        <v>1064</v>
      </c>
      <c r="B57" s="434" t="s">
        <v>1065</v>
      </c>
      <c r="C57" s="434" t="s">
        <v>575</v>
      </c>
      <c r="D57" s="435">
        <v>10</v>
      </c>
      <c r="E57" s="469">
        <v>0.1</v>
      </c>
      <c r="F57" s="437">
        <v>42185</v>
      </c>
      <c r="G57" s="438">
        <f>D57*12</f>
        <v>120</v>
      </c>
      <c r="H57" s="439">
        <f>100/G57</f>
        <v>0.83333333333333337</v>
      </c>
      <c r="I57" s="440">
        <f>H57*J57</f>
        <v>0</v>
      </c>
      <c r="J57" s="438">
        <v>0</v>
      </c>
      <c r="K57" s="440">
        <f>L57*H57</f>
        <v>100</v>
      </c>
      <c r="L57" s="438">
        <f>G57-J57</f>
        <v>120</v>
      </c>
      <c r="M57" s="440">
        <f>N57*H57</f>
        <v>2.5</v>
      </c>
      <c r="N57" s="438">
        <v>3</v>
      </c>
      <c r="O57" s="440">
        <f>P57*H57</f>
        <v>97.5</v>
      </c>
      <c r="P57" s="438">
        <f>L57-N57</f>
        <v>117</v>
      </c>
      <c r="Q57" s="437">
        <v>43466</v>
      </c>
      <c r="R57" s="437" t="s">
        <v>1066</v>
      </c>
      <c r="S57" s="437">
        <v>42254</v>
      </c>
      <c r="T57" s="443">
        <v>28500</v>
      </c>
      <c r="U57" s="443">
        <f>T57*I57%</f>
        <v>0</v>
      </c>
      <c r="V57" s="444">
        <v>0</v>
      </c>
      <c r="W57" s="440">
        <v>0</v>
      </c>
      <c r="X57" s="445">
        <f>W57*5</f>
        <v>0</v>
      </c>
      <c r="Y57" s="446">
        <v>0</v>
      </c>
      <c r="Z57" s="445">
        <v>115.958</v>
      </c>
      <c r="AA57" s="458">
        <v>116.809</v>
      </c>
      <c r="AB57" s="447">
        <f>Z57/AA57</f>
        <v>0.99271460247070009</v>
      </c>
      <c r="AC57" s="447">
        <f>T57*M57/100/K57*100/7</f>
        <v>101.78571428571429</v>
      </c>
      <c r="AD57" s="447">
        <f>AC57*AB57</f>
        <v>101.04416489433912</v>
      </c>
      <c r="AE57" s="447"/>
      <c r="AF57" s="447"/>
      <c r="AG57" s="447"/>
      <c r="AH57" s="447"/>
      <c r="AI57" s="447"/>
      <c r="AJ57" s="447"/>
      <c r="AK57" s="447"/>
      <c r="AL57" s="447"/>
      <c r="AM57" s="447"/>
      <c r="AN57" s="447">
        <f t="shared" ref="AN57:AP57" si="14">$AD57</f>
        <v>101.04416489433912</v>
      </c>
      <c r="AO57" s="447">
        <f t="shared" si="14"/>
        <v>101.04416489433912</v>
      </c>
      <c r="AP57" s="447">
        <f t="shared" si="14"/>
        <v>101.04416489433912</v>
      </c>
      <c r="AQ57" s="448">
        <f>SUM(AE57:AP57)</f>
        <v>303.13249468301734</v>
      </c>
      <c r="AR57" s="448">
        <f>T57-AQ57</f>
        <v>28196.867505316983</v>
      </c>
    </row>
    <row r="58" spans="1:44" x14ac:dyDescent="0.2">
      <c r="A58" s="172" t="s">
        <v>74</v>
      </c>
      <c r="B58" s="172"/>
      <c r="C58" s="172"/>
      <c r="D58" s="101"/>
      <c r="E58" s="91"/>
      <c r="F58" s="88"/>
      <c r="G58" s="90"/>
      <c r="H58" s="201"/>
      <c r="I58" s="233"/>
      <c r="J58" s="90"/>
      <c r="K58" s="233"/>
      <c r="L58" s="90"/>
      <c r="M58" s="233"/>
      <c r="N58" s="90"/>
      <c r="O58" s="233"/>
      <c r="P58" s="90"/>
      <c r="Q58" s="88"/>
      <c r="R58" s="88"/>
      <c r="S58" s="88"/>
      <c r="T58" s="89"/>
      <c r="U58" s="89"/>
      <c r="V58" s="152"/>
      <c r="W58" s="233"/>
      <c r="X58" s="100"/>
      <c r="Y58" s="125"/>
      <c r="Z58" s="100"/>
      <c r="AA58" s="472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116"/>
      <c r="AR58" s="116"/>
    </row>
    <row r="59" spans="1:44" x14ac:dyDescent="0.2">
      <c r="A59" s="172" t="s">
        <v>911</v>
      </c>
      <c r="B59" s="145"/>
      <c r="C59" s="145"/>
      <c r="D59" s="101"/>
      <c r="E59" s="91"/>
      <c r="F59" s="88"/>
      <c r="G59" s="90"/>
      <c r="H59" s="201"/>
      <c r="I59" s="233"/>
      <c r="J59" s="90"/>
      <c r="K59" s="233"/>
      <c r="L59" s="90"/>
      <c r="M59" s="233"/>
      <c r="N59" s="90"/>
      <c r="O59" s="233"/>
      <c r="P59" s="90"/>
      <c r="Q59" s="88"/>
      <c r="R59" s="88"/>
      <c r="S59" s="88"/>
      <c r="T59" s="89"/>
      <c r="U59" s="89"/>
      <c r="V59" s="152"/>
      <c r="W59" s="233"/>
      <c r="X59" s="100"/>
      <c r="Y59" s="125"/>
      <c r="Z59" s="100"/>
      <c r="AA59" s="472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116"/>
      <c r="AR59" s="116"/>
    </row>
    <row r="60" spans="1:44" x14ac:dyDescent="0.2">
      <c r="A60" s="145" t="s">
        <v>910</v>
      </c>
      <c r="B60" s="145" t="s">
        <v>909</v>
      </c>
      <c r="C60" s="145" t="s">
        <v>575</v>
      </c>
      <c r="D60" s="101">
        <v>5</v>
      </c>
      <c r="E60" s="91">
        <v>0.2</v>
      </c>
      <c r="F60" s="88">
        <v>42185</v>
      </c>
      <c r="G60" s="90">
        <f t="shared" ref="G60:G65" si="15">D60*12</f>
        <v>60</v>
      </c>
      <c r="H60" s="201">
        <f t="shared" ref="H60:H65" si="16">100/G60</f>
        <v>1.6666666666666667</v>
      </c>
      <c r="I60" s="233">
        <f t="shared" ref="I60:I65" si="17">H60*J60</f>
        <v>28.333333333333336</v>
      </c>
      <c r="J60" s="90">
        <f t="shared" ref="J60:J65" si="18">(YEAR(F60)-YEAR(S60))*12+MONTH(F60)-MONTH(S60)</f>
        <v>17</v>
      </c>
      <c r="K60" s="233">
        <f t="shared" ref="K60:K65" si="19">L60*H60</f>
        <v>71.666666666666671</v>
      </c>
      <c r="L60" s="90">
        <f t="shared" ref="L60:L65" si="20">G60-J60</f>
        <v>43</v>
      </c>
      <c r="M60" s="233">
        <f t="shared" ref="M60:M65" si="21">N60*H60</f>
        <v>11.666666666666668</v>
      </c>
      <c r="N60" s="90">
        <v>7</v>
      </c>
      <c r="O60" s="233">
        <f t="shared" ref="O60:O65" si="22">P60*H60</f>
        <v>60</v>
      </c>
      <c r="P60" s="90">
        <f t="shared" ref="P60:P65" si="23">L60-N60</f>
        <v>36</v>
      </c>
      <c r="Q60" s="88">
        <v>43466</v>
      </c>
      <c r="R60" s="88" t="s">
        <v>595</v>
      </c>
      <c r="S60" s="88">
        <v>41640</v>
      </c>
      <c r="T60" s="89">
        <f>300*3</f>
        <v>900</v>
      </c>
      <c r="U60" s="89">
        <f t="shared" ref="U60:U65" si="24">T60*I60%</f>
        <v>255.00000000000006</v>
      </c>
      <c r="V60" s="152">
        <f t="shared" ref="V60:V65" si="25">T60-U60</f>
        <v>645</v>
      </c>
      <c r="W60" s="233">
        <f t="shared" ref="W60:W65" si="26">T60*H60%</f>
        <v>15</v>
      </c>
      <c r="X60" s="100">
        <f t="shared" ref="X60:X65" si="27">W60*5</f>
        <v>75</v>
      </c>
      <c r="Y60" s="125">
        <f t="shared" ref="Y60:Y65" si="28">V60-X60</f>
        <v>570</v>
      </c>
      <c r="Z60" s="100">
        <v>115.958</v>
      </c>
      <c r="AA60" s="472">
        <v>112.505</v>
      </c>
      <c r="AB60" s="98">
        <f t="shared" ref="AB60:AB65" si="29">Z60/AA60</f>
        <v>1.0306919692458114</v>
      </c>
      <c r="AC60" s="98">
        <f t="shared" ref="AC60:AC65" si="30">Y60*M60/100/K60*100/7</f>
        <v>13.255813953488374</v>
      </c>
      <c r="AD60" s="98">
        <f t="shared" ref="AD60:AD65" si="31">AC60*AB60</f>
        <v>13.662660987677038</v>
      </c>
      <c r="AE60" s="98"/>
      <c r="AF60" s="98"/>
      <c r="AG60" s="98"/>
      <c r="AH60" s="98"/>
      <c r="AI60" s="98"/>
      <c r="AJ60" s="98">
        <f t="shared" ref="AJ60:AP65" si="32">$AD60</f>
        <v>13.662660987677038</v>
      </c>
      <c r="AK60" s="98">
        <f t="shared" si="32"/>
        <v>13.662660987677038</v>
      </c>
      <c r="AL60" s="98">
        <f t="shared" si="32"/>
        <v>13.662660987677038</v>
      </c>
      <c r="AM60" s="98">
        <f t="shared" si="32"/>
        <v>13.662660987677038</v>
      </c>
      <c r="AN60" s="98">
        <f t="shared" si="32"/>
        <v>13.662660987677038</v>
      </c>
      <c r="AO60" s="98">
        <f t="shared" si="32"/>
        <v>13.662660987677038</v>
      </c>
      <c r="AP60" s="98">
        <f t="shared" si="32"/>
        <v>13.662660987677038</v>
      </c>
      <c r="AQ60" s="116">
        <f t="shared" ref="AQ60:AQ65" si="33">SUM(AE60:AP60)</f>
        <v>95.638626913739273</v>
      </c>
      <c r="AR60" s="116">
        <f t="shared" ref="AR60:AR65" si="34">Y60-AQ60</f>
        <v>474.36137308626076</v>
      </c>
    </row>
    <row r="61" spans="1:44" x14ac:dyDescent="0.2">
      <c r="A61" s="145" t="s">
        <v>904</v>
      </c>
      <c r="B61" s="145" t="s">
        <v>908</v>
      </c>
      <c r="C61" s="145" t="s">
        <v>575</v>
      </c>
      <c r="D61" s="101">
        <v>5</v>
      </c>
      <c r="E61" s="91">
        <v>0.2</v>
      </c>
      <c r="F61" s="88">
        <v>42185</v>
      </c>
      <c r="G61" s="90">
        <f t="shared" si="15"/>
        <v>60</v>
      </c>
      <c r="H61" s="201">
        <f t="shared" si="16"/>
        <v>1.6666666666666667</v>
      </c>
      <c r="I61" s="233">
        <f t="shared" si="17"/>
        <v>28.333333333333336</v>
      </c>
      <c r="J61" s="90">
        <f t="shared" si="18"/>
        <v>17</v>
      </c>
      <c r="K61" s="233">
        <f t="shared" si="19"/>
        <v>71.666666666666671</v>
      </c>
      <c r="L61" s="90">
        <f t="shared" si="20"/>
        <v>43</v>
      </c>
      <c r="M61" s="233">
        <f t="shared" si="21"/>
        <v>11.666666666666668</v>
      </c>
      <c r="N61" s="90">
        <v>7</v>
      </c>
      <c r="O61" s="233">
        <f t="shared" si="22"/>
        <v>60</v>
      </c>
      <c r="P61" s="90">
        <f t="shared" si="23"/>
        <v>36</v>
      </c>
      <c r="Q61" s="88">
        <v>43466</v>
      </c>
      <c r="R61" s="88" t="s">
        <v>595</v>
      </c>
      <c r="S61" s="88">
        <v>41640</v>
      </c>
      <c r="T61" s="89">
        <v>750</v>
      </c>
      <c r="U61" s="89">
        <f t="shared" si="24"/>
        <v>212.50000000000003</v>
      </c>
      <c r="V61" s="152">
        <f t="shared" si="25"/>
        <v>537.5</v>
      </c>
      <c r="W61" s="233">
        <f t="shared" si="26"/>
        <v>12.5</v>
      </c>
      <c r="X61" s="100">
        <f t="shared" si="27"/>
        <v>62.5</v>
      </c>
      <c r="Y61" s="125">
        <f t="shared" si="28"/>
        <v>475</v>
      </c>
      <c r="Z61" s="100">
        <v>115.958</v>
      </c>
      <c r="AA61" s="472">
        <v>112.505</v>
      </c>
      <c r="AB61" s="98">
        <f t="shared" si="29"/>
        <v>1.0306919692458114</v>
      </c>
      <c r="AC61" s="98">
        <f t="shared" si="30"/>
        <v>11.046511627906979</v>
      </c>
      <c r="AD61" s="98">
        <f t="shared" si="31"/>
        <v>11.385550823064198</v>
      </c>
      <c r="AE61" s="98"/>
      <c r="AF61" s="98"/>
      <c r="AG61" s="98"/>
      <c r="AH61" s="98"/>
      <c r="AI61" s="98"/>
      <c r="AJ61" s="98">
        <f t="shared" si="32"/>
        <v>11.385550823064198</v>
      </c>
      <c r="AK61" s="98">
        <f t="shared" si="32"/>
        <v>11.385550823064198</v>
      </c>
      <c r="AL61" s="98">
        <f t="shared" si="32"/>
        <v>11.385550823064198</v>
      </c>
      <c r="AM61" s="98">
        <f t="shared" si="32"/>
        <v>11.385550823064198</v>
      </c>
      <c r="AN61" s="98">
        <f t="shared" si="32"/>
        <v>11.385550823064198</v>
      </c>
      <c r="AO61" s="98">
        <f t="shared" si="32"/>
        <v>11.385550823064198</v>
      </c>
      <c r="AP61" s="98">
        <f t="shared" si="32"/>
        <v>11.385550823064198</v>
      </c>
      <c r="AQ61" s="116">
        <f t="shared" si="33"/>
        <v>79.69885576144938</v>
      </c>
      <c r="AR61" s="116">
        <f t="shared" si="34"/>
        <v>395.30114423855059</v>
      </c>
    </row>
    <row r="62" spans="1:44" x14ac:dyDescent="0.2">
      <c r="A62" s="145" t="s">
        <v>907</v>
      </c>
      <c r="B62" s="145" t="s">
        <v>905</v>
      </c>
      <c r="C62" s="145" t="s">
        <v>575</v>
      </c>
      <c r="D62" s="101">
        <v>5</v>
      </c>
      <c r="E62" s="91">
        <v>0.2</v>
      </c>
      <c r="F62" s="88">
        <v>42185</v>
      </c>
      <c r="G62" s="90">
        <f t="shared" si="15"/>
        <v>60</v>
      </c>
      <c r="H62" s="201">
        <f t="shared" si="16"/>
        <v>1.6666666666666667</v>
      </c>
      <c r="I62" s="233">
        <f t="shared" si="17"/>
        <v>28.333333333333336</v>
      </c>
      <c r="J62" s="90">
        <f t="shared" si="18"/>
        <v>17</v>
      </c>
      <c r="K62" s="233">
        <f t="shared" si="19"/>
        <v>71.666666666666671</v>
      </c>
      <c r="L62" s="90">
        <f t="shared" si="20"/>
        <v>43</v>
      </c>
      <c r="M62" s="233">
        <f t="shared" si="21"/>
        <v>11.666666666666668</v>
      </c>
      <c r="N62" s="90">
        <v>7</v>
      </c>
      <c r="O62" s="233">
        <f t="shared" si="22"/>
        <v>60</v>
      </c>
      <c r="P62" s="90">
        <f t="shared" si="23"/>
        <v>36</v>
      </c>
      <c r="Q62" s="88">
        <v>43466</v>
      </c>
      <c r="R62" s="88" t="s">
        <v>595</v>
      </c>
      <c r="S62" s="88">
        <v>41640</v>
      </c>
      <c r="T62" s="89">
        <v>3000</v>
      </c>
      <c r="U62" s="89">
        <f t="shared" si="24"/>
        <v>850.00000000000011</v>
      </c>
      <c r="V62" s="152">
        <f t="shared" si="25"/>
        <v>2150</v>
      </c>
      <c r="W62" s="233">
        <f t="shared" si="26"/>
        <v>50</v>
      </c>
      <c r="X62" s="100">
        <f t="shared" si="27"/>
        <v>250</v>
      </c>
      <c r="Y62" s="125">
        <f t="shared" si="28"/>
        <v>1900</v>
      </c>
      <c r="Z62" s="100">
        <v>115.958</v>
      </c>
      <c r="AA62" s="472">
        <v>112.505</v>
      </c>
      <c r="AB62" s="98">
        <f t="shared" si="29"/>
        <v>1.0306919692458114</v>
      </c>
      <c r="AC62" s="98">
        <f t="shared" si="30"/>
        <v>44.186046511627914</v>
      </c>
      <c r="AD62" s="98">
        <f t="shared" si="31"/>
        <v>45.542203292256794</v>
      </c>
      <c r="AE62" s="98"/>
      <c r="AF62" s="98"/>
      <c r="AG62" s="98"/>
      <c r="AH62" s="98"/>
      <c r="AI62" s="98"/>
      <c r="AJ62" s="98">
        <f t="shared" si="32"/>
        <v>45.542203292256794</v>
      </c>
      <c r="AK62" s="98">
        <f t="shared" si="32"/>
        <v>45.542203292256794</v>
      </c>
      <c r="AL62" s="98">
        <f t="shared" si="32"/>
        <v>45.542203292256794</v>
      </c>
      <c r="AM62" s="98">
        <f t="shared" si="32"/>
        <v>45.542203292256794</v>
      </c>
      <c r="AN62" s="98">
        <f t="shared" si="32"/>
        <v>45.542203292256794</v>
      </c>
      <c r="AO62" s="98">
        <f t="shared" si="32"/>
        <v>45.542203292256794</v>
      </c>
      <c r="AP62" s="98">
        <f t="shared" si="32"/>
        <v>45.542203292256794</v>
      </c>
      <c r="AQ62" s="116">
        <f t="shared" si="33"/>
        <v>318.79542304579752</v>
      </c>
      <c r="AR62" s="116">
        <f t="shared" si="34"/>
        <v>1581.2045769542024</v>
      </c>
    </row>
    <row r="63" spans="1:44" x14ac:dyDescent="0.2">
      <c r="A63" s="145" t="s">
        <v>906</v>
      </c>
      <c r="B63" s="145" t="s">
        <v>905</v>
      </c>
      <c r="C63" s="145" t="s">
        <v>575</v>
      </c>
      <c r="D63" s="101">
        <v>5</v>
      </c>
      <c r="E63" s="91">
        <v>0.2</v>
      </c>
      <c r="F63" s="88">
        <v>42185</v>
      </c>
      <c r="G63" s="90">
        <f t="shared" si="15"/>
        <v>60</v>
      </c>
      <c r="H63" s="201">
        <f t="shared" si="16"/>
        <v>1.6666666666666667</v>
      </c>
      <c r="I63" s="233">
        <f t="shared" si="17"/>
        <v>28.333333333333336</v>
      </c>
      <c r="J63" s="90">
        <f t="shared" si="18"/>
        <v>17</v>
      </c>
      <c r="K63" s="233">
        <f t="shared" si="19"/>
        <v>71.666666666666671</v>
      </c>
      <c r="L63" s="90">
        <f t="shared" si="20"/>
        <v>43</v>
      </c>
      <c r="M63" s="233">
        <f t="shared" si="21"/>
        <v>11.666666666666668</v>
      </c>
      <c r="N63" s="90">
        <v>7</v>
      </c>
      <c r="O63" s="233">
        <f t="shared" si="22"/>
        <v>60</v>
      </c>
      <c r="P63" s="90">
        <f t="shared" si="23"/>
        <v>36</v>
      </c>
      <c r="Q63" s="88">
        <v>43466</v>
      </c>
      <c r="R63" s="88" t="s">
        <v>595</v>
      </c>
      <c r="S63" s="88">
        <v>41640</v>
      </c>
      <c r="T63" s="89">
        <v>4000</v>
      </c>
      <c r="U63" s="89">
        <f t="shared" si="24"/>
        <v>1133.3333333333335</v>
      </c>
      <c r="V63" s="152">
        <f t="shared" si="25"/>
        <v>2866.6666666666665</v>
      </c>
      <c r="W63" s="233">
        <f t="shared" si="26"/>
        <v>66.666666666666671</v>
      </c>
      <c r="X63" s="100">
        <f t="shared" si="27"/>
        <v>333.33333333333337</v>
      </c>
      <c r="Y63" s="125">
        <f t="shared" si="28"/>
        <v>2533.333333333333</v>
      </c>
      <c r="Z63" s="100">
        <v>115.958</v>
      </c>
      <c r="AA63" s="472">
        <v>112.505</v>
      </c>
      <c r="AB63" s="98">
        <f t="shared" si="29"/>
        <v>1.0306919692458114</v>
      </c>
      <c r="AC63" s="98">
        <f t="shared" si="30"/>
        <v>58.914728682170526</v>
      </c>
      <c r="AD63" s="98">
        <f t="shared" si="31"/>
        <v>60.722937723009025</v>
      </c>
      <c r="AE63" s="98"/>
      <c r="AF63" s="98"/>
      <c r="AG63" s="98"/>
      <c r="AH63" s="98"/>
      <c r="AI63" s="98"/>
      <c r="AJ63" s="98">
        <f t="shared" si="32"/>
        <v>60.722937723009025</v>
      </c>
      <c r="AK63" s="98">
        <f t="shared" si="32"/>
        <v>60.722937723009025</v>
      </c>
      <c r="AL63" s="98">
        <f t="shared" si="32"/>
        <v>60.722937723009025</v>
      </c>
      <c r="AM63" s="98">
        <f t="shared" si="32"/>
        <v>60.722937723009025</v>
      </c>
      <c r="AN63" s="98">
        <f t="shared" si="32"/>
        <v>60.722937723009025</v>
      </c>
      <c r="AO63" s="98">
        <f t="shared" si="32"/>
        <v>60.722937723009025</v>
      </c>
      <c r="AP63" s="98">
        <f t="shared" si="32"/>
        <v>60.722937723009025</v>
      </c>
      <c r="AQ63" s="116">
        <f t="shared" si="33"/>
        <v>425.06056406106313</v>
      </c>
      <c r="AR63" s="116">
        <f t="shared" si="34"/>
        <v>2108.2727692722701</v>
      </c>
    </row>
    <row r="64" spans="1:44" x14ac:dyDescent="0.2">
      <c r="A64" s="145" t="s">
        <v>904</v>
      </c>
      <c r="B64" s="145" t="s">
        <v>903</v>
      </c>
      <c r="C64" s="145" t="s">
        <v>575</v>
      </c>
      <c r="D64" s="101">
        <v>5</v>
      </c>
      <c r="E64" s="91">
        <v>0.2</v>
      </c>
      <c r="F64" s="88">
        <v>42185</v>
      </c>
      <c r="G64" s="90">
        <f t="shared" si="15"/>
        <v>60</v>
      </c>
      <c r="H64" s="201">
        <f t="shared" si="16"/>
        <v>1.6666666666666667</v>
      </c>
      <c r="I64" s="233">
        <f t="shared" si="17"/>
        <v>28.333333333333336</v>
      </c>
      <c r="J64" s="90">
        <f t="shared" si="18"/>
        <v>17</v>
      </c>
      <c r="K64" s="233">
        <f t="shared" si="19"/>
        <v>71.666666666666671</v>
      </c>
      <c r="L64" s="90">
        <f t="shared" si="20"/>
        <v>43</v>
      </c>
      <c r="M64" s="233">
        <f t="shared" si="21"/>
        <v>11.666666666666668</v>
      </c>
      <c r="N64" s="90">
        <v>7</v>
      </c>
      <c r="O64" s="233">
        <f t="shared" si="22"/>
        <v>60</v>
      </c>
      <c r="P64" s="90">
        <f t="shared" si="23"/>
        <v>36</v>
      </c>
      <c r="Q64" s="88">
        <v>43466</v>
      </c>
      <c r="R64" s="88" t="s">
        <v>595</v>
      </c>
      <c r="S64" s="88">
        <v>41640</v>
      </c>
      <c r="T64" s="89">
        <v>8000</v>
      </c>
      <c r="U64" s="89">
        <f t="shared" si="24"/>
        <v>2266.666666666667</v>
      </c>
      <c r="V64" s="152">
        <f t="shared" si="25"/>
        <v>5733.333333333333</v>
      </c>
      <c r="W64" s="233">
        <f t="shared" si="26"/>
        <v>133.33333333333334</v>
      </c>
      <c r="X64" s="100">
        <f t="shared" si="27"/>
        <v>666.66666666666674</v>
      </c>
      <c r="Y64" s="125">
        <f t="shared" si="28"/>
        <v>5066.6666666666661</v>
      </c>
      <c r="Z64" s="100">
        <v>115.958</v>
      </c>
      <c r="AA64" s="472">
        <v>112.505</v>
      </c>
      <c r="AB64" s="98">
        <f t="shared" si="29"/>
        <v>1.0306919692458114</v>
      </c>
      <c r="AC64" s="98">
        <f t="shared" si="30"/>
        <v>117.82945736434105</v>
      </c>
      <c r="AD64" s="98">
        <f t="shared" si="31"/>
        <v>121.44587544601805</v>
      </c>
      <c r="AE64" s="98"/>
      <c r="AF64" s="98"/>
      <c r="AG64" s="98"/>
      <c r="AH64" s="98"/>
      <c r="AI64" s="98"/>
      <c r="AJ64" s="98">
        <f t="shared" si="32"/>
        <v>121.44587544601805</v>
      </c>
      <c r="AK64" s="98">
        <f t="shared" si="32"/>
        <v>121.44587544601805</v>
      </c>
      <c r="AL64" s="98">
        <f t="shared" si="32"/>
        <v>121.44587544601805</v>
      </c>
      <c r="AM64" s="98">
        <f t="shared" si="32"/>
        <v>121.44587544601805</v>
      </c>
      <c r="AN64" s="98">
        <f t="shared" si="32"/>
        <v>121.44587544601805</v>
      </c>
      <c r="AO64" s="98">
        <f t="shared" si="32"/>
        <v>121.44587544601805</v>
      </c>
      <c r="AP64" s="98">
        <f t="shared" si="32"/>
        <v>121.44587544601805</v>
      </c>
      <c r="AQ64" s="116">
        <f t="shared" si="33"/>
        <v>850.12112812212627</v>
      </c>
      <c r="AR64" s="116">
        <f t="shared" si="34"/>
        <v>4216.5455385445402</v>
      </c>
    </row>
    <row r="65" spans="1:44" x14ac:dyDescent="0.2">
      <c r="A65" s="145" t="s">
        <v>902</v>
      </c>
      <c r="B65" s="145" t="s">
        <v>901</v>
      </c>
      <c r="C65" s="145" t="s">
        <v>575</v>
      </c>
      <c r="D65" s="101">
        <v>5</v>
      </c>
      <c r="E65" s="91">
        <v>0.2</v>
      </c>
      <c r="F65" s="88">
        <v>42185</v>
      </c>
      <c r="G65" s="90">
        <f t="shared" si="15"/>
        <v>60</v>
      </c>
      <c r="H65" s="201">
        <f t="shared" si="16"/>
        <v>1.6666666666666667</v>
      </c>
      <c r="I65" s="233">
        <f t="shared" si="17"/>
        <v>28.333333333333336</v>
      </c>
      <c r="J65" s="90">
        <f t="shared" si="18"/>
        <v>17</v>
      </c>
      <c r="K65" s="233">
        <f t="shared" si="19"/>
        <v>71.666666666666671</v>
      </c>
      <c r="L65" s="90">
        <f t="shared" si="20"/>
        <v>43</v>
      </c>
      <c r="M65" s="233">
        <f t="shared" si="21"/>
        <v>11.666666666666668</v>
      </c>
      <c r="N65" s="90">
        <v>7</v>
      </c>
      <c r="O65" s="233">
        <f t="shared" si="22"/>
        <v>60</v>
      </c>
      <c r="P65" s="90">
        <f t="shared" si="23"/>
        <v>36</v>
      </c>
      <c r="Q65" s="88">
        <v>43466</v>
      </c>
      <c r="R65" s="88" t="s">
        <v>595</v>
      </c>
      <c r="S65" s="88">
        <v>41640</v>
      </c>
      <c r="T65" s="89">
        <v>2000</v>
      </c>
      <c r="U65" s="89">
        <f t="shared" si="24"/>
        <v>566.66666666666674</v>
      </c>
      <c r="V65" s="152">
        <f t="shared" si="25"/>
        <v>1433.3333333333333</v>
      </c>
      <c r="W65" s="233">
        <f t="shared" si="26"/>
        <v>33.333333333333336</v>
      </c>
      <c r="X65" s="100">
        <f t="shared" si="27"/>
        <v>166.66666666666669</v>
      </c>
      <c r="Y65" s="125">
        <f t="shared" si="28"/>
        <v>1266.6666666666665</v>
      </c>
      <c r="Z65" s="100">
        <v>115.958</v>
      </c>
      <c r="AA65" s="472">
        <v>112.505</v>
      </c>
      <c r="AB65" s="98">
        <f t="shared" si="29"/>
        <v>1.0306919692458114</v>
      </c>
      <c r="AC65" s="98">
        <f t="shared" si="30"/>
        <v>29.457364341085263</v>
      </c>
      <c r="AD65" s="98">
        <f t="shared" si="31"/>
        <v>30.361468861504513</v>
      </c>
      <c r="AE65" s="98"/>
      <c r="AF65" s="98"/>
      <c r="AG65" s="98"/>
      <c r="AH65" s="98"/>
      <c r="AI65" s="98"/>
      <c r="AJ65" s="98">
        <f t="shared" si="32"/>
        <v>30.361468861504513</v>
      </c>
      <c r="AK65" s="98">
        <f t="shared" si="32"/>
        <v>30.361468861504513</v>
      </c>
      <c r="AL65" s="98">
        <f t="shared" si="32"/>
        <v>30.361468861504513</v>
      </c>
      <c r="AM65" s="98">
        <f t="shared" si="32"/>
        <v>30.361468861504513</v>
      </c>
      <c r="AN65" s="98">
        <f t="shared" si="32"/>
        <v>30.361468861504513</v>
      </c>
      <c r="AO65" s="98">
        <f t="shared" si="32"/>
        <v>30.361468861504513</v>
      </c>
      <c r="AP65" s="98">
        <f t="shared" si="32"/>
        <v>30.361468861504513</v>
      </c>
      <c r="AQ65" s="116">
        <f t="shared" si="33"/>
        <v>212.53028203053157</v>
      </c>
      <c r="AR65" s="116">
        <f t="shared" si="34"/>
        <v>1054.1363846361351</v>
      </c>
    </row>
    <row r="66" spans="1:44" x14ac:dyDescent="0.2">
      <c r="A66" s="172" t="s">
        <v>73</v>
      </c>
      <c r="B66" s="172"/>
      <c r="C66" s="172"/>
      <c r="D66" s="101"/>
      <c r="E66" s="91"/>
      <c r="F66" s="88"/>
      <c r="G66" s="90"/>
      <c r="H66" s="201"/>
      <c r="I66" s="233"/>
      <c r="J66" s="90"/>
      <c r="K66" s="233"/>
      <c r="L66" s="90"/>
      <c r="M66" s="233"/>
      <c r="N66" s="90"/>
      <c r="O66" s="233"/>
      <c r="P66" s="90"/>
      <c r="Q66" s="88"/>
      <c r="R66" s="88"/>
      <c r="S66" s="88"/>
      <c r="T66" s="89"/>
      <c r="U66" s="89"/>
      <c r="V66" s="152"/>
      <c r="W66" s="233"/>
      <c r="X66" s="100"/>
      <c r="Y66" s="125"/>
      <c r="Z66" s="100"/>
      <c r="AA66" s="472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116"/>
      <c r="AR66" s="116"/>
    </row>
    <row r="67" spans="1:44" x14ac:dyDescent="0.2">
      <c r="A67" s="172" t="s">
        <v>900</v>
      </c>
      <c r="B67" s="178"/>
      <c r="C67" s="178"/>
      <c r="D67" s="101"/>
      <c r="E67" s="91"/>
      <c r="F67" s="88"/>
      <c r="G67" s="90"/>
      <c r="H67" s="201"/>
      <c r="I67" s="233"/>
      <c r="J67" s="90"/>
      <c r="K67" s="233"/>
      <c r="L67" s="90"/>
      <c r="M67" s="233"/>
      <c r="N67" s="90"/>
      <c r="O67" s="233"/>
      <c r="P67" s="90"/>
      <c r="Q67" s="88"/>
      <c r="R67" s="88"/>
      <c r="S67" s="88"/>
      <c r="T67" s="89"/>
      <c r="U67" s="89"/>
      <c r="V67" s="152"/>
      <c r="W67" s="233"/>
      <c r="X67" s="100"/>
      <c r="Y67" s="125"/>
      <c r="Z67" s="100"/>
      <c r="AA67" s="472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116"/>
      <c r="AR67" s="116"/>
    </row>
    <row r="68" spans="1:44" x14ac:dyDescent="0.2">
      <c r="A68" s="87" t="s">
        <v>899</v>
      </c>
      <c r="B68" s="87" t="s">
        <v>898</v>
      </c>
      <c r="C68" s="87" t="s">
        <v>575</v>
      </c>
      <c r="D68" s="101">
        <v>5</v>
      </c>
      <c r="E68" s="91">
        <v>0.2</v>
      </c>
      <c r="F68" s="88">
        <v>42185</v>
      </c>
      <c r="G68" s="90">
        <f>D68*12</f>
        <v>60</v>
      </c>
      <c r="H68" s="201">
        <f>100/G68</f>
        <v>1.6666666666666667</v>
      </c>
      <c r="I68" s="233">
        <f>H68*J68</f>
        <v>28.333333333333336</v>
      </c>
      <c r="J68" s="90">
        <f>(YEAR(F68)-YEAR(S68))*12+MONTH(F68)-MONTH(S68)</f>
        <v>17</v>
      </c>
      <c r="K68" s="233">
        <f>L68*H68</f>
        <v>71.666666666666671</v>
      </c>
      <c r="L68" s="90">
        <f>G68-J68</f>
        <v>43</v>
      </c>
      <c r="M68" s="233">
        <f>N68*H68</f>
        <v>11.666666666666668</v>
      </c>
      <c r="N68" s="90">
        <v>7</v>
      </c>
      <c r="O68" s="233">
        <f>P68*H68</f>
        <v>60</v>
      </c>
      <c r="P68" s="90">
        <f>L68-N68</f>
        <v>36</v>
      </c>
      <c r="Q68" s="88">
        <v>43466</v>
      </c>
      <c r="R68" s="88" t="s">
        <v>595</v>
      </c>
      <c r="S68" s="88">
        <v>41640</v>
      </c>
      <c r="T68" s="89">
        <f>1680*11</f>
        <v>18480</v>
      </c>
      <c r="U68" s="89">
        <f>T68*I68%</f>
        <v>5236.0000000000009</v>
      </c>
      <c r="V68" s="152">
        <f>T68-U68</f>
        <v>13244</v>
      </c>
      <c r="W68" s="233">
        <f>T68*H68%</f>
        <v>308</v>
      </c>
      <c r="X68" s="100">
        <f>W68*5</f>
        <v>1540</v>
      </c>
      <c r="Y68" s="125">
        <f>V68-X68</f>
        <v>11704</v>
      </c>
      <c r="Z68" s="100">
        <v>115.958</v>
      </c>
      <c r="AA68" s="472">
        <v>112.505</v>
      </c>
      <c r="AB68" s="98">
        <f>Z68/AA68</f>
        <v>1.0306919692458114</v>
      </c>
      <c r="AC68" s="98">
        <f>Y68*M68/100/K68*100/7</f>
        <v>272.18604651162792</v>
      </c>
      <c r="AD68" s="98">
        <f>AC68*AB68</f>
        <v>280.53997228030181</v>
      </c>
      <c r="AE68" s="98"/>
      <c r="AF68" s="98"/>
      <c r="AG68" s="98"/>
      <c r="AH68" s="98"/>
      <c r="AI68" s="98"/>
      <c r="AJ68" s="98">
        <f t="shared" ref="AJ68:AP68" si="35">$AD68</f>
        <v>280.53997228030181</v>
      </c>
      <c r="AK68" s="98">
        <f t="shared" si="35"/>
        <v>280.53997228030181</v>
      </c>
      <c r="AL68" s="98">
        <f t="shared" si="35"/>
        <v>280.53997228030181</v>
      </c>
      <c r="AM68" s="98">
        <f t="shared" si="35"/>
        <v>280.53997228030181</v>
      </c>
      <c r="AN68" s="98">
        <f t="shared" si="35"/>
        <v>280.53997228030181</v>
      </c>
      <c r="AO68" s="98">
        <f t="shared" si="35"/>
        <v>280.53997228030181</v>
      </c>
      <c r="AP68" s="98">
        <f t="shared" si="35"/>
        <v>280.53997228030181</v>
      </c>
      <c r="AQ68" s="116">
        <f>SUM(AE68:AP68)</f>
        <v>1963.7798059621125</v>
      </c>
      <c r="AR68" s="116">
        <f>Y68-AQ68</f>
        <v>9740.2201940378873</v>
      </c>
    </row>
    <row r="69" spans="1:44" x14ac:dyDescent="0.2">
      <c r="A69" s="172" t="s">
        <v>73</v>
      </c>
      <c r="B69" s="172"/>
      <c r="C69" s="172"/>
      <c r="D69" s="101"/>
      <c r="E69" s="91"/>
      <c r="F69" s="88"/>
      <c r="G69" s="90"/>
      <c r="H69" s="201"/>
      <c r="I69" s="233"/>
      <c r="J69" s="90"/>
      <c r="K69" s="233"/>
      <c r="L69" s="90"/>
      <c r="M69" s="233"/>
      <c r="N69" s="90"/>
      <c r="O69" s="233"/>
      <c r="P69" s="90"/>
      <c r="Q69" s="88"/>
      <c r="R69" s="88"/>
      <c r="S69" s="88"/>
      <c r="T69" s="89"/>
      <c r="U69" s="89"/>
      <c r="V69" s="152"/>
      <c r="W69" s="233"/>
      <c r="X69" s="100"/>
      <c r="Y69" s="125"/>
      <c r="Z69" s="100"/>
      <c r="AA69" s="472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116"/>
      <c r="AR69" s="116"/>
    </row>
    <row r="70" spans="1:44" x14ac:dyDescent="0.2">
      <c r="A70" s="172" t="s">
        <v>897</v>
      </c>
      <c r="B70" s="178"/>
      <c r="C70" s="178"/>
      <c r="D70" s="101"/>
      <c r="E70" s="91"/>
      <c r="F70" s="88"/>
      <c r="G70" s="90"/>
      <c r="H70" s="201"/>
      <c r="I70" s="233"/>
      <c r="J70" s="90"/>
      <c r="K70" s="233"/>
      <c r="L70" s="90"/>
      <c r="M70" s="233"/>
      <c r="N70" s="90"/>
      <c r="O70" s="233"/>
      <c r="P70" s="90"/>
      <c r="Q70" s="88"/>
      <c r="R70" s="88"/>
      <c r="S70" s="88"/>
      <c r="T70" s="89"/>
      <c r="U70" s="89"/>
      <c r="V70" s="152"/>
      <c r="W70" s="233"/>
      <c r="X70" s="100"/>
      <c r="Y70" s="125"/>
      <c r="Z70" s="100"/>
      <c r="AA70" s="472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116"/>
      <c r="AR70" s="116"/>
    </row>
    <row r="71" spans="1:44" x14ac:dyDescent="0.2">
      <c r="A71" s="87" t="s">
        <v>896</v>
      </c>
      <c r="B71" s="473" t="s">
        <v>895</v>
      </c>
      <c r="C71" s="178" t="s">
        <v>575</v>
      </c>
      <c r="D71" s="101">
        <v>10</v>
      </c>
      <c r="E71" s="91">
        <v>0.1</v>
      </c>
      <c r="F71" s="88">
        <v>42185</v>
      </c>
      <c r="G71" s="90">
        <f>D71*12</f>
        <v>120</v>
      </c>
      <c r="H71" s="201">
        <f>100/G71</f>
        <v>0.83333333333333337</v>
      </c>
      <c r="I71" s="233">
        <f>H71*J71</f>
        <v>11.666666666666668</v>
      </c>
      <c r="J71" s="90">
        <f>(YEAR(F71)-YEAR(S71))*12+MONTH(F71)-MONTH(S71)</f>
        <v>14</v>
      </c>
      <c r="K71" s="233">
        <f>L71*H71</f>
        <v>88.333333333333343</v>
      </c>
      <c r="L71" s="90">
        <f>G71-J71</f>
        <v>106</v>
      </c>
      <c r="M71" s="233">
        <f>N71*H71</f>
        <v>5.8333333333333339</v>
      </c>
      <c r="N71" s="90">
        <v>7</v>
      </c>
      <c r="O71" s="233">
        <f>P71*H71</f>
        <v>82.5</v>
      </c>
      <c r="P71" s="90">
        <f>L71-N71</f>
        <v>99</v>
      </c>
      <c r="Q71" s="88">
        <v>45292</v>
      </c>
      <c r="R71" s="88" t="s">
        <v>595</v>
      </c>
      <c r="S71" s="88">
        <v>41730</v>
      </c>
      <c r="T71" s="89">
        <v>120000</v>
      </c>
      <c r="U71" s="89">
        <f>T71*I71%</f>
        <v>14000.000000000002</v>
      </c>
      <c r="V71" s="152">
        <f>T71-U71</f>
        <v>106000</v>
      </c>
      <c r="W71" s="233">
        <f>T71*H71%</f>
        <v>1000</v>
      </c>
      <c r="X71" s="100">
        <f>W71*5</f>
        <v>5000</v>
      </c>
      <c r="Y71" s="125">
        <f>V71-X71</f>
        <v>101000</v>
      </c>
      <c r="Z71" s="100">
        <v>115.958</v>
      </c>
      <c r="AA71" s="472">
        <v>112.505</v>
      </c>
      <c r="AB71" s="98">
        <f>Z71/AA71</f>
        <v>1.0306919692458114</v>
      </c>
      <c r="AC71" s="98">
        <f>Y71*M71/100/K71*100/7</f>
        <v>952.83018867924534</v>
      </c>
      <c r="AD71" s="98">
        <f>AC71*AB71</f>
        <v>982.07442352666942</v>
      </c>
      <c r="AE71" s="98"/>
      <c r="AF71" s="98"/>
      <c r="AG71" s="98"/>
      <c r="AH71" s="98"/>
      <c r="AI71" s="98"/>
      <c r="AJ71" s="98">
        <f t="shared" ref="AJ71:AP71" si="36">$AD71</f>
        <v>982.07442352666942</v>
      </c>
      <c r="AK71" s="98">
        <f t="shared" si="36"/>
        <v>982.07442352666942</v>
      </c>
      <c r="AL71" s="98">
        <f t="shared" si="36"/>
        <v>982.07442352666942</v>
      </c>
      <c r="AM71" s="98">
        <f t="shared" si="36"/>
        <v>982.07442352666942</v>
      </c>
      <c r="AN71" s="98">
        <f t="shared" si="36"/>
        <v>982.07442352666942</v>
      </c>
      <c r="AO71" s="98">
        <f t="shared" si="36"/>
        <v>982.07442352666942</v>
      </c>
      <c r="AP71" s="98">
        <f t="shared" si="36"/>
        <v>982.07442352666942</v>
      </c>
      <c r="AQ71" s="116">
        <f>SUM(AE71:AP71)</f>
        <v>6874.5209646866861</v>
      </c>
      <c r="AR71" s="116">
        <f>Y71-AQ71</f>
        <v>94125.479035313314</v>
      </c>
    </row>
    <row r="72" spans="1:44" x14ac:dyDescent="0.2">
      <c r="A72" s="172" t="s">
        <v>131</v>
      </c>
      <c r="B72" s="172"/>
      <c r="C72" s="172"/>
      <c r="D72" s="101"/>
      <c r="E72" s="91"/>
      <c r="F72" s="88"/>
      <c r="G72" s="90"/>
      <c r="H72" s="201"/>
      <c r="I72" s="233"/>
      <c r="J72" s="90"/>
      <c r="K72" s="233"/>
      <c r="L72" s="90"/>
      <c r="M72" s="233"/>
      <c r="N72" s="90"/>
      <c r="O72" s="233"/>
      <c r="P72" s="90"/>
      <c r="Q72" s="88"/>
      <c r="R72" s="88"/>
      <c r="S72" s="88"/>
      <c r="T72" s="89"/>
      <c r="U72" s="89"/>
      <c r="V72" s="152"/>
      <c r="W72" s="233"/>
      <c r="X72" s="100"/>
      <c r="Y72" s="125"/>
      <c r="Z72" s="100"/>
      <c r="AA72" s="472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116"/>
      <c r="AR72" s="116"/>
    </row>
    <row r="73" spans="1:44" x14ac:dyDescent="0.2">
      <c r="A73" s="172" t="s">
        <v>893</v>
      </c>
      <c r="B73" s="87"/>
      <c r="C73" s="87"/>
      <c r="D73" s="101"/>
      <c r="E73" s="91"/>
      <c r="F73" s="88"/>
      <c r="G73" s="90"/>
      <c r="H73" s="201"/>
      <c r="I73" s="233"/>
      <c r="J73" s="90"/>
      <c r="K73" s="233"/>
      <c r="L73" s="90"/>
      <c r="M73" s="233"/>
      <c r="N73" s="90"/>
      <c r="O73" s="233"/>
      <c r="P73" s="90"/>
      <c r="Q73" s="88"/>
      <c r="R73" s="88"/>
      <c r="S73" s="88"/>
      <c r="T73" s="89"/>
      <c r="U73" s="89"/>
      <c r="V73" s="152"/>
      <c r="W73" s="233"/>
      <c r="X73" s="100"/>
      <c r="Y73" s="125"/>
      <c r="Z73" s="100"/>
      <c r="AA73" s="472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116"/>
      <c r="AR73" s="116"/>
    </row>
    <row r="74" spans="1:44" x14ac:dyDescent="0.2">
      <c r="A74" s="87" t="s">
        <v>892</v>
      </c>
      <c r="B74" s="87" t="s">
        <v>891</v>
      </c>
      <c r="C74" s="87" t="s">
        <v>575</v>
      </c>
      <c r="D74" s="101">
        <v>10</v>
      </c>
      <c r="E74" s="91">
        <v>0.1</v>
      </c>
      <c r="F74" s="88">
        <v>42185</v>
      </c>
      <c r="G74" s="90">
        <f>D74*12</f>
        <v>120</v>
      </c>
      <c r="H74" s="201">
        <f>100/G74</f>
        <v>0.83333333333333337</v>
      </c>
      <c r="I74" s="233">
        <f>H74*J74</f>
        <v>14.166666666666668</v>
      </c>
      <c r="J74" s="90">
        <f>(YEAR(F74)-YEAR(S74))*12+MONTH(F74)-MONTH(S74)</f>
        <v>17</v>
      </c>
      <c r="K74" s="233">
        <f>L74*H74</f>
        <v>85.833333333333343</v>
      </c>
      <c r="L74" s="90">
        <f>G74-J74</f>
        <v>103</v>
      </c>
      <c r="M74" s="233">
        <f>N74*H74</f>
        <v>5.8333333333333339</v>
      </c>
      <c r="N74" s="90">
        <f>(7)</f>
        <v>7</v>
      </c>
      <c r="O74" s="233">
        <f>P74*H74</f>
        <v>80</v>
      </c>
      <c r="P74" s="90">
        <f>L74-N74</f>
        <v>96</v>
      </c>
      <c r="Q74" s="88">
        <v>45292</v>
      </c>
      <c r="R74" s="88" t="s">
        <v>595</v>
      </c>
      <c r="S74" s="88">
        <v>41640</v>
      </c>
      <c r="T74" s="89">
        <v>1049</v>
      </c>
      <c r="U74" s="89">
        <f>T74*I74%</f>
        <v>148.60833333333335</v>
      </c>
      <c r="V74" s="152">
        <f>T74-U74</f>
        <v>900.39166666666665</v>
      </c>
      <c r="W74" s="233">
        <f>T74*H74%</f>
        <v>8.7416666666666671</v>
      </c>
      <c r="X74" s="100">
        <f>W74*5</f>
        <v>43.708333333333336</v>
      </c>
      <c r="Y74" s="125">
        <f>V74-X74</f>
        <v>856.68333333333328</v>
      </c>
      <c r="Z74" s="100">
        <v>115.958</v>
      </c>
      <c r="AA74" s="472">
        <v>112.505</v>
      </c>
      <c r="AB74" s="98">
        <f>Z74/AA74</f>
        <v>1.0306919692458114</v>
      </c>
      <c r="AC74" s="98">
        <f>Y74*M74/100/K74*100/7</f>
        <v>8.3173139158576053</v>
      </c>
      <c r="AD74" s="98">
        <f>AC74*AB74</f>
        <v>8.5725886587708668</v>
      </c>
      <c r="AE74" s="98"/>
      <c r="AF74" s="98"/>
      <c r="AG74" s="98"/>
      <c r="AH74" s="98"/>
      <c r="AI74" s="98"/>
      <c r="AJ74" s="98">
        <f t="shared" ref="AJ74:AP74" si="37">$AD74</f>
        <v>8.5725886587708668</v>
      </c>
      <c r="AK74" s="98">
        <f t="shared" si="37"/>
        <v>8.5725886587708668</v>
      </c>
      <c r="AL74" s="98">
        <f t="shared" si="37"/>
        <v>8.5725886587708668</v>
      </c>
      <c r="AM74" s="98">
        <f t="shared" si="37"/>
        <v>8.5725886587708668</v>
      </c>
      <c r="AN74" s="98">
        <f t="shared" si="37"/>
        <v>8.5725886587708668</v>
      </c>
      <c r="AO74" s="98">
        <f t="shared" si="37"/>
        <v>8.5725886587708668</v>
      </c>
      <c r="AP74" s="98">
        <f t="shared" si="37"/>
        <v>8.5725886587708668</v>
      </c>
      <c r="AQ74" s="116">
        <f>SUM(AE74:AP74)</f>
        <v>60.008120611396073</v>
      </c>
      <c r="AR74" s="116">
        <f>Y74-AQ74</f>
        <v>796.67521272193721</v>
      </c>
    </row>
    <row r="75" spans="1:44" x14ac:dyDescent="0.2">
      <c r="D75" s="27"/>
      <c r="E75" s="27"/>
      <c r="R75" s="243"/>
      <c r="S75" s="28"/>
      <c r="T75" s="546">
        <f>SUM(T15:T74)</f>
        <v>234665</v>
      </c>
      <c r="U75" s="16"/>
      <c r="V75" s="336">
        <f>SUM(V15:V74)</f>
        <v>156848.69444444444</v>
      </c>
      <c r="Y75" s="121"/>
      <c r="AB75" s="263"/>
      <c r="AH75" s="263">
        <f t="shared" ref="AH75:AO75" si="38">SUM(AH15:AH74)</f>
        <v>0</v>
      </c>
      <c r="AI75" s="263">
        <f t="shared" si="38"/>
        <v>0</v>
      </c>
      <c r="AJ75" s="263">
        <f t="shared" si="38"/>
        <v>1802.2066551002665</v>
      </c>
      <c r="AK75" s="263">
        <f t="shared" si="38"/>
        <v>1802.2066551002665</v>
      </c>
      <c r="AL75" s="263">
        <f t="shared" si="38"/>
        <v>1802.2066551002665</v>
      </c>
      <c r="AM75" s="263">
        <f t="shared" si="38"/>
        <v>1802.2066551002665</v>
      </c>
      <c r="AN75" s="263">
        <f t="shared" si="38"/>
        <v>2332.9701838672795</v>
      </c>
      <c r="AO75" s="263">
        <f t="shared" si="38"/>
        <v>2332.9701838672795</v>
      </c>
      <c r="AP75" s="527">
        <f>SUM(AP14:AP74)</f>
        <v>2338.9801838672793</v>
      </c>
      <c r="AQ75" s="527">
        <f>SUM(AQ14:AQ74)</f>
        <v>14213.747172002904</v>
      </c>
      <c r="AR75" s="527">
        <f>SUM(AR14:AR74)</f>
        <v>181932.97505021931</v>
      </c>
    </row>
    <row r="76" spans="1:44" x14ac:dyDescent="0.2">
      <c r="A76" s="156"/>
      <c r="B76" s="132"/>
      <c r="C76" s="132"/>
      <c r="D76" s="133"/>
      <c r="E76" s="133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4"/>
      <c r="S76" s="134"/>
      <c r="T76" s="135"/>
      <c r="U76" s="135"/>
      <c r="V76" s="150"/>
      <c r="Y76" s="121"/>
      <c r="AP76" s="113"/>
    </row>
    <row r="77" spans="1:44" x14ac:dyDescent="0.2">
      <c r="A77" s="471"/>
      <c r="D77" s="27"/>
      <c r="E77" s="27"/>
      <c r="R77" s="28"/>
      <c r="S77" s="28"/>
      <c r="T77" s="16"/>
      <c r="U77" s="16"/>
      <c r="V77" s="150"/>
      <c r="Y77" s="121"/>
      <c r="AP77" s="113"/>
    </row>
    <row r="78" spans="1:44" x14ac:dyDescent="0.2">
      <c r="A78" s="560"/>
      <c r="B78" s="560"/>
      <c r="C78" s="560"/>
      <c r="D78" s="560"/>
      <c r="E78" s="560"/>
      <c r="F78" s="560"/>
      <c r="G78" s="560"/>
      <c r="H78" s="560"/>
      <c r="I78" s="560"/>
      <c r="J78" s="560"/>
      <c r="K78" s="560"/>
      <c r="L78" s="560"/>
      <c r="M78" s="560"/>
      <c r="N78" s="560"/>
      <c r="O78" s="560"/>
      <c r="P78" s="560"/>
      <c r="Q78" s="560"/>
      <c r="R78" s="560"/>
      <c r="S78" s="560"/>
      <c r="T78" s="560"/>
      <c r="U78" s="560"/>
      <c r="V78" s="560"/>
      <c r="W78" s="560"/>
      <c r="X78" s="560"/>
      <c r="Y78" s="239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</row>
    <row r="79" spans="1:44" x14ac:dyDescent="0.2">
      <c r="A79" s="560"/>
      <c r="B79" s="560"/>
      <c r="C79" s="560"/>
      <c r="D79" s="560"/>
      <c r="E79" s="560"/>
      <c r="F79" s="560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60"/>
      <c r="R79" s="560"/>
      <c r="S79" s="560"/>
      <c r="T79" s="560"/>
      <c r="U79" s="560"/>
      <c r="V79" s="560"/>
      <c r="W79" s="560"/>
      <c r="X79" s="560"/>
      <c r="Y79" s="121"/>
      <c r="AP79" s="113"/>
    </row>
    <row r="80" spans="1:44" x14ac:dyDescent="0.2">
      <c r="D80" s="27"/>
      <c r="E80" s="27"/>
      <c r="R80" s="28"/>
      <c r="S80" s="28"/>
      <c r="T80" s="16"/>
      <c r="U80" s="16"/>
      <c r="V80" s="150"/>
      <c r="Y80" s="121"/>
      <c r="AA80" s="16"/>
      <c r="AO80" s="150">
        <f>V75+AO75</f>
        <v>159181.66462831173</v>
      </c>
      <c r="AP80" s="113"/>
    </row>
  </sheetData>
  <mergeCells count="26">
    <mergeCell ref="A78:X79"/>
    <mergeCell ref="X11:X12"/>
    <mergeCell ref="Y11:Y12"/>
    <mergeCell ref="AC11:AC12"/>
    <mergeCell ref="R11:R12"/>
    <mergeCell ref="S11:S12"/>
    <mergeCell ref="T11:T12"/>
    <mergeCell ref="U11:U12"/>
    <mergeCell ref="V11:V12"/>
    <mergeCell ref="J11:J12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D11:AD12"/>
    <mergeCell ref="K11:K12"/>
    <mergeCell ref="L11:L12"/>
    <mergeCell ref="M11:M12"/>
    <mergeCell ref="O11:O12"/>
    <mergeCell ref="Q11:Q12"/>
    <mergeCell ref="D10:P10"/>
  </mergeCells>
  <pageMargins left="0.59055118110236227" right="0.19685039370078741" top="0.39370078740157483" bottom="0.39370078740157483" header="0.31496062992125984" footer="0.31496062992125984"/>
  <pageSetup paperSize="5" scale="46" orientation="landscape" r:id="rId1"/>
  <drawing r:id="rId2"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47"/>
  <sheetViews>
    <sheetView tabSelected="1" topLeftCell="A31" zoomScale="115" zoomScaleNormal="115" workbookViewId="0">
      <selection activeCell="A20" sqref="A20"/>
    </sheetView>
  </sheetViews>
  <sheetFormatPr baseColWidth="10" defaultRowHeight="12.75" x14ac:dyDescent="0.2"/>
  <cols>
    <col min="1" max="1" width="11.42578125" style="540"/>
    <col min="2" max="2" width="36.140625" style="535" customWidth="1"/>
    <col min="3" max="3" width="11.42578125" customWidth="1"/>
    <col min="4" max="4" width="7.5703125" customWidth="1"/>
    <col min="5" max="5" width="7" customWidth="1"/>
    <col min="6" max="6" width="10.42578125" hidden="1" customWidth="1"/>
    <col min="7" max="7" width="7.140625" customWidth="1"/>
    <col min="8" max="8" width="8.5703125" hidden="1" customWidth="1"/>
    <col min="9" max="9" width="7" hidden="1" customWidth="1"/>
    <col min="10" max="10" width="7.28515625" hidden="1" customWidth="1"/>
    <col min="11" max="11" width="7.85546875" hidden="1" customWidth="1"/>
    <col min="12" max="13" width="7.140625" hidden="1" customWidth="1"/>
    <col min="14" max="14" width="8.140625" hidden="1" customWidth="1"/>
    <col min="15" max="15" width="7.7109375" hidden="1" customWidth="1"/>
    <col min="16" max="16" width="10.7109375" hidden="1" customWidth="1"/>
    <col min="17" max="17" width="11.42578125" customWidth="1"/>
    <col min="18" max="18" width="17" customWidth="1"/>
    <col min="19" max="19" width="11.42578125" customWidth="1"/>
    <col min="20" max="20" width="13.28515625" bestFit="1" customWidth="1"/>
    <col min="22" max="22" width="11.42578125" customWidth="1"/>
    <col min="25" max="25" width="11.7109375" bestFit="1" customWidth="1"/>
    <col min="26" max="28" width="11.42578125" customWidth="1"/>
    <col min="31" max="41" width="11.42578125" hidden="1" customWidth="1"/>
    <col min="42" max="43" width="11.7109375" bestFit="1" customWidth="1"/>
    <col min="44" max="44" width="14.42578125" bestFit="1" customWidth="1"/>
  </cols>
  <sheetData>
    <row r="1" spans="1:44" x14ac:dyDescent="0.2">
      <c r="A1" s="538"/>
      <c r="B1" s="531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543"/>
      <c r="AQ1" s="544"/>
      <c r="AR1" s="544"/>
    </row>
    <row r="2" spans="1:44" x14ac:dyDescent="0.2">
      <c r="A2" s="538"/>
      <c r="B2" s="531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543"/>
      <c r="AQ2" s="544"/>
      <c r="AR2" s="544"/>
    </row>
    <row r="3" spans="1:44" x14ac:dyDescent="0.2">
      <c r="A3" s="538"/>
      <c r="B3" s="532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543"/>
      <c r="AQ3" s="544"/>
      <c r="AR3" s="544"/>
    </row>
    <row r="4" spans="1:44" x14ac:dyDescent="0.2">
      <c r="A4" s="538"/>
      <c r="B4" s="532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543"/>
      <c r="AQ4" s="544"/>
      <c r="AR4" s="544"/>
    </row>
    <row r="5" spans="1:44" x14ac:dyDescent="0.2">
      <c r="A5" s="538"/>
      <c r="B5" s="533" t="s">
        <v>1004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543"/>
      <c r="AQ5" s="544"/>
      <c r="AR5" s="544"/>
    </row>
    <row r="6" spans="1:44" x14ac:dyDescent="0.2">
      <c r="A6" s="538"/>
      <c r="B6" s="532" t="s">
        <v>858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543"/>
      <c r="AQ6" s="544"/>
      <c r="AR6" s="544"/>
    </row>
    <row r="7" spans="1:44" x14ac:dyDescent="0.2">
      <c r="A7" s="538"/>
      <c r="B7" s="532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543"/>
      <c r="AQ7" s="544"/>
      <c r="AR7" s="544"/>
    </row>
    <row r="8" spans="1:44" x14ac:dyDescent="0.2">
      <c r="A8" s="539"/>
      <c r="B8" s="534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112"/>
    </row>
    <row r="9" spans="1:44" x14ac:dyDescent="0.2">
      <c r="A9" s="539"/>
      <c r="B9" s="534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12"/>
    </row>
    <row r="10" spans="1:44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</row>
    <row r="11" spans="1:44" ht="49.5" x14ac:dyDescent="0.25">
      <c r="A11" s="588" t="s">
        <v>60</v>
      </c>
      <c r="B11" s="590" t="s">
        <v>0</v>
      </c>
      <c r="C11" s="428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29" t="s">
        <v>680</v>
      </c>
      <c r="O11" s="556" t="s">
        <v>643</v>
      </c>
      <c r="P11" s="432" t="s">
        <v>681</v>
      </c>
      <c r="Q11" s="565" t="s">
        <v>679</v>
      </c>
      <c r="R11" s="561" t="s">
        <v>1071</v>
      </c>
      <c r="S11" s="561" t="s">
        <v>1003</v>
      </c>
      <c r="T11" s="563" t="s">
        <v>599</v>
      </c>
      <c r="U11" s="558" t="s">
        <v>1002</v>
      </c>
      <c r="V11" s="558" t="s">
        <v>747</v>
      </c>
      <c r="W11" s="430"/>
      <c r="X11" s="570" t="s">
        <v>720</v>
      </c>
      <c r="Y11" s="558" t="s">
        <v>750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4" ht="33.75" x14ac:dyDescent="0.25">
      <c r="A12" s="589"/>
      <c r="B12" s="591"/>
      <c r="C12" s="229" t="s">
        <v>645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69"/>
      <c r="W12" s="431" t="s">
        <v>1001</v>
      </c>
      <c r="X12" s="573"/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4" x14ac:dyDescent="0.2">
      <c r="A13" s="172" t="s">
        <v>1000</v>
      </c>
      <c r="B13" s="536"/>
      <c r="C13" s="172"/>
      <c r="D13" s="185"/>
      <c r="E13" s="184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1"/>
      <c r="S13" s="171"/>
      <c r="T13" s="188"/>
      <c r="U13" s="188"/>
      <c r="V13" s="154"/>
      <c r="W13" s="110"/>
      <c r="X13" s="476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  <c r="AQ13" s="117"/>
      <c r="AR13" s="117"/>
    </row>
    <row r="14" spans="1:44" x14ac:dyDescent="0.2">
      <c r="A14" s="145" t="s">
        <v>1115</v>
      </c>
      <c r="B14" s="537" t="s">
        <v>957</v>
      </c>
      <c r="C14" s="87" t="s">
        <v>961</v>
      </c>
      <c r="D14" s="101">
        <v>25</v>
      </c>
      <c r="E14" s="91">
        <v>0.04</v>
      </c>
      <c r="F14" s="88">
        <v>42185</v>
      </c>
      <c r="G14" s="90">
        <f t="shared" ref="G14:G36" si="0">D14*12</f>
        <v>300</v>
      </c>
      <c r="H14" s="201">
        <f t="shared" ref="H14:H36" si="1">100/G14</f>
        <v>0.33333333333333331</v>
      </c>
      <c r="I14" s="233">
        <f t="shared" ref="I14:I23" si="2">H14*J14</f>
        <v>1.6666666666666665</v>
      </c>
      <c r="J14" s="90">
        <f t="shared" ref="J14:J23" si="3">(YEAR(F14)-YEAR(S14))*12+MONTH(F14)-MONTH(S14)</f>
        <v>5</v>
      </c>
      <c r="K14" s="233">
        <f t="shared" ref="K14:K36" si="4">L14*H14</f>
        <v>98.333333333333329</v>
      </c>
      <c r="L14" s="90">
        <f t="shared" ref="L14:L36" si="5">G14-J14</f>
        <v>295</v>
      </c>
      <c r="M14" s="233">
        <f t="shared" ref="M14:M36" si="6">N14*H14</f>
        <v>2.333333333333333</v>
      </c>
      <c r="N14" s="90">
        <v>7</v>
      </c>
      <c r="O14" s="233">
        <f t="shared" ref="O14:O36" si="7">P14*H14</f>
        <v>96</v>
      </c>
      <c r="P14" s="90">
        <f t="shared" ref="P14:P36" si="8">L14-N14</f>
        <v>288</v>
      </c>
      <c r="Q14" s="88">
        <v>51136</v>
      </c>
      <c r="R14" s="88" t="s">
        <v>1116</v>
      </c>
      <c r="S14" s="88">
        <v>42005</v>
      </c>
      <c r="T14" s="89">
        <v>196800</v>
      </c>
      <c r="U14" s="89">
        <f t="shared" ref="U14:U46" si="9">T14*I14%</f>
        <v>3280</v>
      </c>
      <c r="V14" s="152">
        <f>T14</f>
        <v>196800</v>
      </c>
      <c r="W14" s="233">
        <f t="shared" ref="W14:W25" si="10">T14*H14%</f>
        <v>656</v>
      </c>
      <c r="X14" s="474">
        <f t="shared" ref="X14:X23" si="11">W14*5</f>
        <v>3280</v>
      </c>
      <c r="Y14" s="125">
        <f t="shared" ref="Y14:Y35" si="12">V14-X14</f>
        <v>193520</v>
      </c>
      <c r="Z14" s="100">
        <v>115.958</v>
      </c>
      <c r="AA14" s="472">
        <v>115.95399999999999</v>
      </c>
      <c r="AB14" s="98">
        <f t="shared" ref="AB14:AB23" si="13">Z14/AA14</f>
        <v>1.0000344964382428</v>
      </c>
      <c r="AC14" s="98">
        <f t="shared" ref="AC14:AC36" si="14">Y14*M14/100/K14*100/7</f>
        <v>655.99999999999989</v>
      </c>
      <c r="AD14" s="98">
        <f t="shared" ref="AD14:AD36" si="15">AC14*AB14</f>
        <v>656.02262966348712</v>
      </c>
      <c r="AE14" s="98"/>
      <c r="AF14" s="98"/>
      <c r="AG14" s="98"/>
      <c r="AH14" s="98"/>
      <c r="AI14" s="98"/>
      <c r="AJ14" s="98">
        <f t="shared" ref="AJ14:AP23" si="16">$AD14</f>
        <v>656.02262966348712</v>
      </c>
      <c r="AK14" s="98">
        <f t="shared" si="16"/>
        <v>656.02262966348712</v>
      </c>
      <c r="AL14" s="98">
        <f t="shared" si="16"/>
        <v>656.02262966348712</v>
      </c>
      <c r="AM14" s="98">
        <f t="shared" si="16"/>
        <v>656.02262966348712</v>
      </c>
      <c r="AN14" s="98">
        <f t="shared" si="16"/>
        <v>656.02262966348712</v>
      </c>
      <c r="AO14" s="98">
        <f t="shared" si="16"/>
        <v>656.02262966348712</v>
      </c>
      <c r="AP14" s="98">
        <f t="shared" si="16"/>
        <v>656.02262966348712</v>
      </c>
      <c r="AQ14" s="116">
        <f t="shared" ref="AQ14:AQ36" si="17">SUM(AE14:AP14)</f>
        <v>4592.1584076444105</v>
      </c>
      <c r="AR14" s="116">
        <f t="shared" ref="AR14:AR46" si="18">Y14-AQ14</f>
        <v>188927.8415923556</v>
      </c>
    </row>
    <row r="15" spans="1:44" x14ac:dyDescent="0.2">
      <c r="A15" s="323" t="s">
        <v>999</v>
      </c>
      <c r="B15" s="537" t="s">
        <v>998</v>
      </c>
      <c r="C15" s="87" t="s">
        <v>961</v>
      </c>
      <c r="D15" s="101">
        <v>25</v>
      </c>
      <c r="E15" s="91">
        <v>0.04</v>
      </c>
      <c r="F15" s="88">
        <v>42185</v>
      </c>
      <c r="G15" s="90">
        <f t="shared" si="0"/>
        <v>300</v>
      </c>
      <c r="H15" s="201">
        <f t="shared" si="1"/>
        <v>0.33333333333333331</v>
      </c>
      <c r="I15" s="233">
        <f t="shared" si="2"/>
        <v>1.6666666666666665</v>
      </c>
      <c r="J15" s="90">
        <f t="shared" si="3"/>
        <v>5</v>
      </c>
      <c r="K15" s="233">
        <f t="shared" si="4"/>
        <v>98.333333333333329</v>
      </c>
      <c r="L15" s="90">
        <f t="shared" si="5"/>
        <v>295</v>
      </c>
      <c r="M15" s="233">
        <f t="shared" si="6"/>
        <v>2.333333333333333</v>
      </c>
      <c r="N15" s="90">
        <v>7</v>
      </c>
      <c r="O15" s="233">
        <f t="shared" si="7"/>
        <v>96</v>
      </c>
      <c r="P15" s="90">
        <f t="shared" si="8"/>
        <v>288</v>
      </c>
      <c r="Q15" s="88">
        <v>51136</v>
      </c>
      <c r="R15" s="88" t="s">
        <v>1072</v>
      </c>
      <c r="S15" s="88">
        <v>42005</v>
      </c>
      <c r="T15" s="89">
        <v>2433646.7999999998</v>
      </c>
      <c r="U15" s="89">
        <f t="shared" si="9"/>
        <v>40560.78</v>
      </c>
      <c r="V15" s="152">
        <f>T15</f>
        <v>2433646.7999999998</v>
      </c>
      <c r="W15" s="233">
        <f t="shared" si="10"/>
        <v>8112.155999999999</v>
      </c>
      <c r="X15" s="474">
        <f t="shared" si="11"/>
        <v>40560.78</v>
      </c>
      <c r="Y15" s="125">
        <f t="shared" si="12"/>
        <v>2393086.02</v>
      </c>
      <c r="Z15" s="100">
        <v>115.958</v>
      </c>
      <c r="AA15" s="472">
        <v>115.95399999999999</v>
      </c>
      <c r="AB15" s="475">
        <f t="shared" si="13"/>
        <v>1.0000344964382428</v>
      </c>
      <c r="AC15" s="98">
        <f t="shared" si="14"/>
        <v>8112.1559999999999</v>
      </c>
      <c r="AD15" s="98">
        <f t="shared" si="15"/>
        <v>8112.4358404884697</v>
      </c>
      <c r="AE15" s="98"/>
      <c r="AF15" s="98"/>
      <c r="AG15" s="98"/>
      <c r="AH15" s="98"/>
      <c r="AI15" s="98"/>
      <c r="AJ15" s="98">
        <f t="shared" si="16"/>
        <v>8112.4358404884697</v>
      </c>
      <c r="AK15" s="98">
        <f t="shared" si="16"/>
        <v>8112.4358404884697</v>
      </c>
      <c r="AL15" s="98">
        <f t="shared" si="16"/>
        <v>8112.4358404884697</v>
      </c>
      <c r="AM15" s="98">
        <f t="shared" si="16"/>
        <v>8112.4358404884697</v>
      </c>
      <c r="AN15" s="98">
        <f t="shared" si="16"/>
        <v>8112.4358404884697</v>
      </c>
      <c r="AO15" s="98">
        <f t="shared" si="16"/>
        <v>8112.4358404884697</v>
      </c>
      <c r="AP15" s="98">
        <f t="shared" si="16"/>
        <v>8112.4358404884697</v>
      </c>
      <c r="AQ15" s="116">
        <f t="shared" si="17"/>
        <v>56787.050883419288</v>
      </c>
      <c r="AR15" s="116">
        <f t="shared" si="18"/>
        <v>2336298.9691165807</v>
      </c>
    </row>
    <row r="16" spans="1:44" x14ac:dyDescent="0.2">
      <c r="A16" s="323" t="s">
        <v>997</v>
      </c>
      <c r="B16" s="537" t="s">
        <v>575</v>
      </c>
      <c r="C16" s="87" t="s">
        <v>961</v>
      </c>
      <c r="D16" s="101">
        <v>25</v>
      </c>
      <c r="E16" s="91">
        <v>0.04</v>
      </c>
      <c r="F16" s="88">
        <v>42185</v>
      </c>
      <c r="G16" s="90">
        <f t="shared" si="0"/>
        <v>300</v>
      </c>
      <c r="H16" s="201">
        <f t="shared" si="1"/>
        <v>0.33333333333333331</v>
      </c>
      <c r="I16" s="233">
        <f t="shared" si="2"/>
        <v>1.6666666666666665</v>
      </c>
      <c r="J16" s="90">
        <f t="shared" si="3"/>
        <v>5</v>
      </c>
      <c r="K16" s="233">
        <f t="shared" si="4"/>
        <v>98.333333333333329</v>
      </c>
      <c r="L16" s="90">
        <f t="shared" si="5"/>
        <v>295</v>
      </c>
      <c r="M16" s="233">
        <f t="shared" si="6"/>
        <v>2.333333333333333</v>
      </c>
      <c r="N16" s="90">
        <v>7</v>
      </c>
      <c r="O16" s="233">
        <f t="shared" si="7"/>
        <v>96</v>
      </c>
      <c r="P16" s="90">
        <f t="shared" si="8"/>
        <v>288</v>
      </c>
      <c r="Q16" s="88">
        <v>51136</v>
      </c>
      <c r="R16" s="88" t="s">
        <v>1073</v>
      </c>
      <c r="S16" s="88">
        <v>42005</v>
      </c>
      <c r="T16" s="89">
        <v>102630</v>
      </c>
      <c r="U16" s="89">
        <f t="shared" si="9"/>
        <v>1710.5</v>
      </c>
      <c r="V16" s="152">
        <f>T16</f>
        <v>102630</v>
      </c>
      <c r="W16" s="233">
        <f t="shared" si="10"/>
        <v>342.09999999999997</v>
      </c>
      <c r="X16" s="474">
        <f t="shared" si="11"/>
        <v>1710.4999999999998</v>
      </c>
      <c r="Y16" s="125">
        <f t="shared" si="12"/>
        <v>100919.5</v>
      </c>
      <c r="Z16" s="100">
        <v>115.958</v>
      </c>
      <c r="AA16" s="472">
        <v>115.95399999999999</v>
      </c>
      <c r="AB16" s="98">
        <f t="shared" si="13"/>
        <v>1.0000344964382428</v>
      </c>
      <c r="AC16" s="98">
        <f t="shared" si="14"/>
        <v>342.09999999999991</v>
      </c>
      <c r="AD16" s="98">
        <f t="shared" si="15"/>
        <v>342.1118012315228</v>
      </c>
      <c r="AE16" s="98"/>
      <c r="AF16" s="98"/>
      <c r="AG16" s="98"/>
      <c r="AH16" s="98"/>
      <c r="AI16" s="98"/>
      <c r="AJ16" s="98">
        <f t="shared" si="16"/>
        <v>342.1118012315228</v>
      </c>
      <c r="AK16" s="98">
        <f t="shared" si="16"/>
        <v>342.1118012315228</v>
      </c>
      <c r="AL16" s="98">
        <f t="shared" si="16"/>
        <v>342.1118012315228</v>
      </c>
      <c r="AM16" s="98">
        <f t="shared" si="16"/>
        <v>342.1118012315228</v>
      </c>
      <c r="AN16" s="98">
        <f t="shared" si="16"/>
        <v>342.1118012315228</v>
      </c>
      <c r="AO16" s="98">
        <f t="shared" si="16"/>
        <v>342.1118012315228</v>
      </c>
      <c r="AP16" s="98">
        <f t="shared" si="16"/>
        <v>342.1118012315228</v>
      </c>
      <c r="AQ16" s="116">
        <f t="shared" si="17"/>
        <v>2394.7826086206596</v>
      </c>
      <c r="AR16" s="116">
        <f t="shared" si="18"/>
        <v>98524.717391379338</v>
      </c>
    </row>
    <row r="17" spans="1:44" x14ac:dyDescent="0.2">
      <c r="A17" s="323" t="s">
        <v>996</v>
      </c>
      <c r="B17" s="537" t="s">
        <v>995</v>
      </c>
      <c r="C17" s="87" t="s">
        <v>961</v>
      </c>
      <c r="D17" s="101">
        <v>25</v>
      </c>
      <c r="E17" s="91">
        <v>0.04</v>
      </c>
      <c r="F17" s="88">
        <v>42185</v>
      </c>
      <c r="G17" s="90">
        <f t="shared" si="0"/>
        <v>300</v>
      </c>
      <c r="H17" s="201">
        <f t="shared" si="1"/>
        <v>0.33333333333333331</v>
      </c>
      <c r="I17" s="233">
        <f t="shared" si="2"/>
        <v>1.6666666666666665</v>
      </c>
      <c r="J17" s="90">
        <f t="shared" si="3"/>
        <v>5</v>
      </c>
      <c r="K17" s="233">
        <f t="shared" si="4"/>
        <v>98.333333333333329</v>
      </c>
      <c r="L17" s="90">
        <f t="shared" si="5"/>
        <v>295</v>
      </c>
      <c r="M17" s="233">
        <f t="shared" si="6"/>
        <v>2.333333333333333</v>
      </c>
      <c r="N17" s="90">
        <v>7</v>
      </c>
      <c r="O17" s="233">
        <f t="shared" si="7"/>
        <v>96</v>
      </c>
      <c r="P17" s="90">
        <f t="shared" si="8"/>
        <v>288</v>
      </c>
      <c r="Q17" s="88">
        <v>51136</v>
      </c>
      <c r="R17" s="88" t="s">
        <v>1076</v>
      </c>
      <c r="S17" s="88">
        <v>42005</v>
      </c>
      <c r="T17" s="89">
        <v>573600</v>
      </c>
      <c r="U17" s="89">
        <f t="shared" si="9"/>
        <v>9560</v>
      </c>
      <c r="V17" s="152">
        <f>T17</f>
        <v>573600</v>
      </c>
      <c r="W17" s="233">
        <f t="shared" si="10"/>
        <v>1911.9999999999998</v>
      </c>
      <c r="X17" s="474">
        <f t="shared" si="11"/>
        <v>9559.9999999999982</v>
      </c>
      <c r="Y17" s="125">
        <f t="shared" si="12"/>
        <v>564040</v>
      </c>
      <c r="Z17" s="100">
        <v>115.958</v>
      </c>
      <c r="AA17" s="472">
        <v>115.95399999999999</v>
      </c>
      <c r="AB17" s="98">
        <f t="shared" si="13"/>
        <v>1.0000344964382428</v>
      </c>
      <c r="AC17" s="98">
        <f t="shared" si="14"/>
        <v>1912</v>
      </c>
      <c r="AD17" s="98">
        <f t="shared" si="15"/>
        <v>1912.0659571899203</v>
      </c>
      <c r="AE17" s="98"/>
      <c r="AF17" s="98"/>
      <c r="AG17" s="98"/>
      <c r="AH17" s="98"/>
      <c r="AI17" s="98"/>
      <c r="AJ17" s="98">
        <f t="shared" si="16"/>
        <v>1912.0659571899203</v>
      </c>
      <c r="AK17" s="98">
        <f t="shared" si="16"/>
        <v>1912.0659571899203</v>
      </c>
      <c r="AL17" s="98">
        <f t="shared" si="16"/>
        <v>1912.0659571899203</v>
      </c>
      <c r="AM17" s="98">
        <f t="shared" si="16"/>
        <v>1912.0659571899203</v>
      </c>
      <c r="AN17" s="98">
        <f t="shared" si="16"/>
        <v>1912.0659571899203</v>
      </c>
      <c r="AO17" s="98">
        <f t="shared" si="16"/>
        <v>1912.0659571899203</v>
      </c>
      <c r="AP17" s="98">
        <f t="shared" si="16"/>
        <v>1912.0659571899203</v>
      </c>
      <c r="AQ17" s="116">
        <f t="shared" si="17"/>
        <v>13384.461700329441</v>
      </c>
      <c r="AR17" s="116">
        <f t="shared" si="18"/>
        <v>550655.53829967056</v>
      </c>
    </row>
    <row r="18" spans="1:44" x14ac:dyDescent="0.2">
      <c r="A18" s="323" t="s">
        <v>994</v>
      </c>
      <c r="B18" s="537" t="s">
        <v>993</v>
      </c>
      <c r="C18" s="87" t="s">
        <v>961</v>
      </c>
      <c r="D18" s="101">
        <v>25</v>
      </c>
      <c r="E18" s="91">
        <v>0.04</v>
      </c>
      <c r="F18" s="88">
        <v>42185</v>
      </c>
      <c r="G18" s="90">
        <f t="shared" si="0"/>
        <v>300</v>
      </c>
      <c r="H18" s="201">
        <f t="shared" si="1"/>
        <v>0.33333333333333331</v>
      </c>
      <c r="I18" s="233">
        <f t="shared" si="2"/>
        <v>1.6666666666666665</v>
      </c>
      <c r="J18" s="90">
        <f t="shared" si="3"/>
        <v>5</v>
      </c>
      <c r="K18" s="233">
        <f t="shared" si="4"/>
        <v>98.333333333333329</v>
      </c>
      <c r="L18" s="90">
        <f t="shared" si="5"/>
        <v>295</v>
      </c>
      <c r="M18" s="233">
        <f t="shared" si="6"/>
        <v>2.333333333333333</v>
      </c>
      <c r="N18" s="90">
        <v>7</v>
      </c>
      <c r="O18" s="233">
        <f t="shared" si="7"/>
        <v>96</v>
      </c>
      <c r="P18" s="90">
        <f t="shared" si="8"/>
        <v>288</v>
      </c>
      <c r="Q18" s="88">
        <v>51136</v>
      </c>
      <c r="R18" s="88" t="s">
        <v>1079</v>
      </c>
      <c r="S18" s="88">
        <v>42005</v>
      </c>
      <c r="T18" s="89">
        <v>2526075</v>
      </c>
      <c r="U18" s="89">
        <f t="shared" si="9"/>
        <v>42101.25</v>
      </c>
      <c r="V18" s="152">
        <f>T18</f>
        <v>2526075</v>
      </c>
      <c r="W18" s="233">
        <f t="shared" si="10"/>
        <v>8420.25</v>
      </c>
      <c r="X18" s="474">
        <f t="shared" si="11"/>
        <v>42101.25</v>
      </c>
      <c r="Y18" s="125">
        <f t="shared" si="12"/>
        <v>2483973.75</v>
      </c>
      <c r="Z18" s="100">
        <v>115.958</v>
      </c>
      <c r="AA18" s="472">
        <v>115.95399999999999</v>
      </c>
      <c r="AB18" s="98">
        <f t="shared" si="13"/>
        <v>1.0000344964382428</v>
      </c>
      <c r="AC18" s="98">
        <f t="shared" si="14"/>
        <v>8420.2499999999982</v>
      </c>
      <c r="AD18" s="98">
        <f t="shared" si="15"/>
        <v>8420.5404686341117</v>
      </c>
      <c r="AE18" s="98"/>
      <c r="AF18" s="98"/>
      <c r="AG18" s="98"/>
      <c r="AH18" s="98"/>
      <c r="AI18" s="98"/>
      <c r="AJ18" s="98">
        <f t="shared" si="16"/>
        <v>8420.5404686341117</v>
      </c>
      <c r="AK18" s="98">
        <f t="shared" si="16"/>
        <v>8420.5404686341117</v>
      </c>
      <c r="AL18" s="98">
        <f t="shared" si="16"/>
        <v>8420.5404686341117</v>
      </c>
      <c r="AM18" s="98">
        <f t="shared" si="16"/>
        <v>8420.5404686341117</v>
      </c>
      <c r="AN18" s="98">
        <f t="shared" si="16"/>
        <v>8420.5404686341117</v>
      </c>
      <c r="AO18" s="98">
        <f t="shared" si="16"/>
        <v>8420.5404686341117</v>
      </c>
      <c r="AP18" s="98">
        <f t="shared" si="16"/>
        <v>8420.5404686341117</v>
      </c>
      <c r="AQ18" s="116">
        <f t="shared" si="17"/>
        <v>58943.783280438787</v>
      </c>
      <c r="AR18" s="116">
        <f t="shared" si="18"/>
        <v>2425029.9667195613</v>
      </c>
    </row>
    <row r="19" spans="1:44" x14ac:dyDescent="0.2">
      <c r="A19" s="323" t="s">
        <v>992</v>
      </c>
      <c r="B19" s="537" t="s">
        <v>991</v>
      </c>
      <c r="C19" s="87" t="s">
        <v>961</v>
      </c>
      <c r="D19" s="101">
        <v>25</v>
      </c>
      <c r="E19" s="91">
        <v>0.04</v>
      </c>
      <c r="F19" s="88">
        <v>42185</v>
      </c>
      <c r="G19" s="90">
        <f t="shared" si="0"/>
        <v>300</v>
      </c>
      <c r="H19" s="201">
        <f t="shared" si="1"/>
        <v>0.33333333333333331</v>
      </c>
      <c r="I19" s="233">
        <f t="shared" si="2"/>
        <v>15.333333333333332</v>
      </c>
      <c r="J19" s="90">
        <f t="shared" si="3"/>
        <v>46</v>
      </c>
      <c r="K19" s="233">
        <f t="shared" si="4"/>
        <v>84.666666666666657</v>
      </c>
      <c r="L19" s="90">
        <f t="shared" si="5"/>
        <v>254</v>
      </c>
      <c r="M19" s="233">
        <f t="shared" si="6"/>
        <v>2.333333333333333</v>
      </c>
      <c r="N19" s="90">
        <v>7</v>
      </c>
      <c r="O19" s="233">
        <f t="shared" si="7"/>
        <v>82.333333333333329</v>
      </c>
      <c r="P19" s="90">
        <f t="shared" si="8"/>
        <v>247</v>
      </c>
      <c r="Q19" s="88">
        <v>49914</v>
      </c>
      <c r="R19" s="88" t="s">
        <v>1080</v>
      </c>
      <c r="S19" s="88">
        <v>40782</v>
      </c>
      <c r="T19" s="89">
        <v>1220229.8400000001</v>
      </c>
      <c r="U19" s="89">
        <f t="shared" si="9"/>
        <v>187101.9088</v>
      </c>
      <c r="V19" s="152">
        <f>T19-U19</f>
        <v>1033127.9312000001</v>
      </c>
      <c r="W19" s="233">
        <f t="shared" si="10"/>
        <v>4067.4328</v>
      </c>
      <c r="X19" s="474">
        <f t="shared" si="11"/>
        <v>20337.164000000001</v>
      </c>
      <c r="Y19" s="125">
        <f t="shared" si="12"/>
        <v>1012790.7672000001</v>
      </c>
      <c r="Z19" s="100">
        <v>115.958</v>
      </c>
      <c r="AA19" s="472">
        <v>100.68</v>
      </c>
      <c r="AB19" s="98">
        <f t="shared" si="13"/>
        <v>1.1517481128327374</v>
      </c>
      <c r="AC19" s="98">
        <f t="shared" si="14"/>
        <v>3987.365225196851</v>
      </c>
      <c r="AD19" s="98">
        <f t="shared" si="15"/>
        <v>4592.440373295356</v>
      </c>
      <c r="AE19" s="98"/>
      <c r="AF19" s="98"/>
      <c r="AG19" s="98"/>
      <c r="AH19" s="98"/>
      <c r="AI19" s="98"/>
      <c r="AJ19" s="98">
        <f t="shared" si="16"/>
        <v>4592.440373295356</v>
      </c>
      <c r="AK19" s="98">
        <f t="shared" si="16"/>
        <v>4592.440373295356</v>
      </c>
      <c r="AL19" s="98">
        <f t="shared" si="16"/>
        <v>4592.440373295356</v>
      </c>
      <c r="AM19" s="98">
        <f t="shared" si="16"/>
        <v>4592.440373295356</v>
      </c>
      <c r="AN19" s="98">
        <f t="shared" si="16"/>
        <v>4592.440373295356</v>
      </c>
      <c r="AO19" s="98">
        <f t="shared" si="16"/>
        <v>4592.440373295356</v>
      </c>
      <c r="AP19" s="98">
        <f t="shared" si="16"/>
        <v>4592.440373295356</v>
      </c>
      <c r="AQ19" s="116">
        <f t="shared" si="17"/>
        <v>32147.082613067498</v>
      </c>
      <c r="AR19" s="116">
        <f t="shared" si="18"/>
        <v>980643.68458693265</v>
      </c>
    </row>
    <row r="20" spans="1:44" x14ac:dyDescent="0.2">
      <c r="A20" s="145" t="s">
        <v>990</v>
      </c>
      <c r="B20" s="537" t="s">
        <v>989</v>
      </c>
      <c r="C20" s="87" t="s">
        <v>961</v>
      </c>
      <c r="D20" s="101">
        <v>25</v>
      </c>
      <c r="E20" s="91">
        <v>0.04</v>
      </c>
      <c r="F20" s="88">
        <v>42185</v>
      </c>
      <c r="G20" s="90">
        <f t="shared" si="0"/>
        <v>300</v>
      </c>
      <c r="H20" s="201">
        <f t="shared" si="1"/>
        <v>0.33333333333333331</v>
      </c>
      <c r="I20" s="233">
        <f t="shared" si="2"/>
        <v>1.6666666666666665</v>
      </c>
      <c r="J20" s="90">
        <f t="shared" si="3"/>
        <v>5</v>
      </c>
      <c r="K20" s="233">
        <f t="shared" si="4"/>
        <v>98.333333333333329</v>
      </c>
      <c r="L20" s="90">
        <f t="shared" si="5"/>
        <v>295</v>
      </c>
      <c r="M20" s="233">
        <f t="shared" si="6"/>
        <v>2.333333333333333</v>
      </c>
      <c r="N20" s="90">
        <v>7</v>
      </c>
      <c r="O20" s="233">
        <f t="shared" si="7"/>
        <v>96</v>
      </c>
      <c r="P20" s="90">
        <f t="shared" si="8"/>
        <v>288</v>
      </c>
      <c r="Q20" s="88">
        <v>51136</v>
      </c>
      <c r="R20" s="88" t="s">
        <v>1074</v>
      </c>
      <c r="S20" s="88">
        <v>42005</v>
      </c>
      <c r="T20" s="89">
        <v>6378780</v>
      </c>
      <c r="U20" s="89">
        <f t="shared" si="9"/>
        <v>106313</v>
      </c>
      <c r="V20" s="152">
        <f t="shared" ref="V20:V36" si="19">T20</f>
        <v>6378780</v>
      </c>
      <c r="W20" s="233">
        <f t="shared" si="10"/>
        <v>21262.6</v>
      </c>
      <c r="X20" s="474">
        <f t="shared" si="11"/>
        <v>106313</v>
      </c>
      <c r="Y20" s="125">
        <f t="shared" si="12"/>
        <v>6272467</v>
      </c>
      <c r="Z20" s="100">
        <v>115.958</v>
      </c>
      <c r="AA20" s="472">
        <v>115.95399999999999</v>
      </c>
      <c r="AB20" s="98">
        <f t="shared" si="13"/>
        <v>1.0000344964382428</v>
      </c>
      <c r="AC20" s="98">
        <f t="shared" si="14"/>
        <v>21262.600000000002</v>
      </c>
      <c r="AD20" s="98">
        <f t="shared" si="15"/>
        <v>21263.333483967785</v>
      </c>
      <c r="AE20" s="98"/>
      <c r="AF20" s="98"/>
      <c r="AG20" s="98"/>
      <c r="AH20" s="98"/>
      <c r="AI20" s="98"/>
      <c r="AJ20" s="98">
        <f t="shared" si="16"/>
        <v>21263.333483967785</v>
      </c>
      <c r="AK20" s="98">
        <f t="shared" si="16"/>
        <v>21263.333483967785</v>
      </c>
      <c r="AL20" s="98">
        <f t="shared" si="16"/>
        <v>21263.333483967785</v>
      </c>
      <c r="AM20" s="98">
        <f t="shared" si="16"/>
        <v>21263.333483967785</v>
      </c>
      <c r="AN20" s="98">
        <f t="shared" si="16"/>
        <v>21263.333483967785</v>
      </c>
      <c r="AO20" s="98">
        <f t="shared" si="16"/>
        <v>21263.333483967785</v>
      </c>
      <c r="AP20" s="98">
        <f t="shared" si="16"/>
        <v>21263.333483967785</v>
      </c>
      <c r="AQ20" s="116">
        <f t="shared" si="17"/>
        <v>148843.33438777449</v>
      </c>
      <c r="AR20" s="116">
        <f t="shared" si="18"/>
        <v>6123623.6656122254</v>
      </c>
    </row>
    <row r="21" spans="1:44" x14ac:dyDescent="0.2">
      <c r="A21" s="145" t="s">
        <v>988</v>
      </c>
      <c r="B21" s="537" t="s">
        <v>987</v>
      </c>
      <c r="C21" s="87" t="s">
        <v>961</v>
      </c>
      <c r="D21" s="101">
        <v>25</v>
      </c>
      <c r="E21" s="91">
        <v>0.04</v>
      </c>
      <c r="F21" s="88">
        <v>42185</v>
      </c>
      <c r="G21" s="90">
        <f t="shared" si="0"/>
        <v>300</v>
      </c>
      <c r="H21" s="201">
        <f t="shared" si="1"/>
        <v>0.33333333333333331</v>
      </c>
      <c r="I21" s="233">
        <f t="shared" si="2"/>
        <v>1.6666666666666665</v>
      </c>
      <c r="J21" s="90">
        <f t="shared" si="3"/>
        <v>5</v>
      </c>
      <c r="K21" s="233">
        <f t="shared" si="4"/>
        <v>98.333333333333329</v>
      </c>
      <c r="L21" s="90">
        <f t="shared" si="5"/>
        <v>295</v>
      </c>
      <c r="M21" s="233">
        <f t="shared" si="6"/>
        <v>2.333333333333333</v>
      </c>
      <c r="N21" s="90">
        <v>7</v>
      </c>
      <c r="O21" s="233">
        <f t="shared" si="7"/>
        <v>96</v>
      </c>
      <c r="P21" s="90">
        <f t="shared" si="8"/>
        <v>288</v>
      </c>
      <c r="Q21" s="88">
        <v>51136</v>
      </c>
      <c r="R21" s="88" t="s">
        <v>1075</v>
      </c>
      <c r="S21" s="88">
        <v>42005</v>
      </c>
      <c r="T21" s="89">
        <v>416440</v>
      </c>
      <c r="U21" s="89">
        <f t="shared" si="9"/>
        <v>6940.666666666667</v>
      </c>
      <c r="V21" s="152">
        <f t="shared" si="19"/>
        <v>416440</v>
      </c>
      <c r="W21" s="233">
        <f t="shared" si="10"/>
        <v>1388.1333333333332</v>
      </c>
      <c r="X21" s="474">
        <f t="shared" si="11"/>
        <v>6940.6666666666661</v>
      </c>
      <c r="Y21" s="125">
        <f t="shared" si="12"/>
        <v>409499.33333333331</v>
      </c>
      <c r="Z21" s="100">
        <v>115.958</v>
      </c>
      <c r="AA21" s="472">
        <v>115.95399999999999</v>
      </c>
      <c r="AB21" s="98">
        <f t="shared" si="13"/>
        <v>1.0000344964382428</v>
      </c>
      <c r="AC21" s="98">
        <f t="shared" si="14"/>
        <v>1388.133333333333</v>
      </c>
      <c r="AD21" s="98">
        <f t="shared" si="15"/>
        <v>1388.1812189891391</v>
      </c>
      <c r="AE21" s="98"/>
      <c r="AF21" s="98"/>
      <c r="AG21" s="98"/>
      <c r="AH21" s="98"/>
      <c r="AI21" s="98"/>
      <c r="AJ21" s="98">
        <f t="shared" si="16"/>
        <v>1388.1812189891391</v>
      </c>
      <c r="AK21" s="98">
        <f t="shared" si="16"/>
        <v>1388.1812189891391</v>
      </c>
      <c r="AL21" s="98">
        <f t="shared" si="16"/>
        <v>1388.1812189891391</v>
      </c>
      <c r="AM21" s="98">
        <f t="shared" si="16"/>
        <v>1388.1812189891391</v>
      </c>
      <c r="AN21" s="98">
        <f t="shared" si="16"/>
        <v>1388.1812189891391</v>
      </c>
      <c r="AO21" s="98">
        <f t="shared" si="16"/>
        <v>1388.1812189891391</v>
      </c>
      <c r="AP21" s="98">
        <f t="shared" si="16"/>
        <v>1388.1812189891391</v>
      </c>
      <c r="AQ21" s="116">
        <f t="shared" si="17"/>
        <v>9717.2685329239739</v>
      </c>
      <c r="AR21" s="116">
        <f t="shared" si="18"/>
        <v>399782.06480040937</v>
      </c>
    </row>
    <row r="22" spans="1:44" x14ac:dyDescent="0.2">
      <c r="A22" s="145" t="s">
        <v>986</v>
      </c>
      <c r="B22" s="537" t="s">
        <v>1070</v>
      </c>
      <c r="C22" s="87" t="s">
        <v>961</v>
      </c>
      <c r="D22" s="101">
        <v>25</v>
      </c>
      <c r="E22" s="91">
        <v>0.04</v>
      </c>
      <c r="F22" s="88">
        <v>42185</v>
      </c>
      <c r="G22" s="90">
        <f t="shared" si="0"/>
        <v>300</v>
      </c>
      <c r="H22" s="201">
        <f t="shared" si="1"/>
        <v>0.33333333333333331</v>
      </c>
      <c r="I22" s="233">
        <f t="shared" si="2"/>
        <v>1.6666666666666665</v>
      </c>
      <c r="J22" s="90">
        <f t="shared" si="3"/>
        <v>5</v>
      </c>
      <c r="K22" s="233">
        <f t="shared" si="4"/>
        <v>98.333333333333329</v>
      </c>
      <c r="L22" s="90">
        <f t="shared" si="5"/>
        <v>295</v>
      </c>
      <c r="M22" s="233">
        <f t="shared" si="6"/>
        <v>2.333333333333333</v>
      </c>
      <c r="N22" s="90">
        <v>7</v>
      </c>
      <c r="O22" s="233">
        <f t="shared" si="7"/>
        <v>96</v>
      </c>
      <c r="P22" s="90">
        <f t="shared" si="8"/>
        <v>288</v>
      </c>
      <c r="Q22" s="88">
        <v>51136</v>
      </c>
      <c r="R22" s="88" t="s">
        <v>1077</v>
      </c>
      <c r="S22" s="88">
        <v>42005</v>
      </c>
      <c r="T22" s="89">
        <v>6600</v>
      </c>
      <c r="U22" s="89">
        <f t="shared" si="9"/>
        <v>110</v>
      </c>
      <c r="V22" s="152">
        <f t="shared" si="19"/>
        <v>6600</v>
      </c>
      <c r="W22" s="233">
        <f t="shared" si="10"/>
        <v>22</v>
      </c>
      <c r="X22" s="474">
        <f t="shared" si="11"/>
        <v>110</v>
      </c>
      <c r="Y22" s="125">
        <f t="shared" si="12"/>
        <v>6490</v>
      </c>
      <c r="Z22" s="100">
        <v>115.958</v>
      </c>
      <c r="AA22" s="472">
        <v>115.95399999999999</v>
      </c>
      <c r="AB22" s="98">
        <f t="shared" si="13"/>
        <v>1.0000344964382428</v>
      </c>
      <c r="AC22" s="98">
        <f t="shared" si="14"/>
        <v>21.999999999999996</v>
      </c>
      <c r="AD22" s="98">
        <f t="shared" si="15"/>
        <v>22.000758921641339</v>
      </c>
      <c r="AE22" s="98"/>
      <c r="AF22" s="98"/>
      <c r="AG22" s="98"/>
      <c r="AH22" s="98"/>
      <c r="AI22" s="98"/>
      <c r="AJ22" s="98">
        <f t="shared" si="16"/>
        <v>22.000758921641339</v>
      </c>
      <c r="AK22" s="98">
        <f t="shared" si="16"/>
        <v>22.000758921641339</v>
      </c>
      <c r="AL22" s="98">
        <f t="shared" si="16"/>
        <v>22.000758921641339</v>
      </c>
      <c r="AM22" s="98">
        <f t="shared" si="16"/>
        <v>22.000758921641339</v>
      </c>
      <c r="AN22" s="98">
        <f t="shared" si="16"/>
        <v>22.000758921641339</v>
      </c>
      <c r="AO22" s="98">
        <f t="shared" si="16"/>
        <v>22.000758921641339</v>
      </c>
      <c r="AP22" s="98">
        <f t="shared" si="16"/>
        <v>22.000758921641339</v>
      </c>
      <c r="AQ22" s="116">
        <f t="shared" si="17"/>
        <v>154.00531245148937</v>
      </c>
      <c r="AR22" s="116">
        <f t="shared" si="18"/>
        <v>6335.9946875485102</v>
      </c>
    </row>
    <row r="23" spans="1:44" x14ac:dyDescent="0.2">
      <c r="A23" s="145" t="s">
        <v>985</v>
      </c>
      <c r="B23" s="537" t="s">
        <v>984</v>
      </c>
      <c r="C23" s="87" t="s">
        <v>961</v>
      </c>
      <c r="D23" s="101">
        <v>25</v>
      </c>
      <c r="E23" s="91">
        <v>0.04</v>
      </c>
      <c r="F23" s="88">
        <v>42185</v>
      </c>
      <c r="G23" s="90">
        <f t="shared" si="0"/>
        <v>300</v>
      </c>
      <c r="H23" s="201">
        <f t="shared" si="1"/>
        <v>0.33333333333333331</v>
      </c>
      <c r="I23" s="233">
        <f t="shared" si="2"/>
        <v>1</v>
      </c>
      <c r="J23" s="90">
        <f t="shared" si="3"/>
        <v>3</v>
      </c>
      <c r="K23" s="233">
        <f t="shared" si="4"/>
        <v>99</v>
      </c>
      <c r="L23" s="90">
        <f t="shared" si="5"/>
        <v>297</v>
      </c>
      <c r="M23" s="233">
        <f t="shared" si="6"/>
        <v>2.333333333333333</v>
      </c>
      <c r="N23" s="90">
        <v>7</v>
      </c>
      <c r="O23" s="233">
        <f t="shared" si="7"/>
        <v>96.666666666666657</v>
      </c>
      <c r="P23" s="90">
        <f t="shared" si="8"/>
        <v>290</v>
      </c>
      <c r="Q23" s="88">
        <v>51201</v>
      </c>
      <c r="R23" s="88" t="s">
        <v>1078</v>
      </c>
      <c r="S23" s="88">
        <v>42069</v>
      </c>
      <c r="T23" s="89">
        <v>4360087</v>
      </c>
      <c r="U23" s="89">
        <f t="shared" si="9"/>
        <v>43600.87</v>
      </c>
      <c r="V23" s="152">
        <f t="shared" si="19"/>
        <v>4360087</v>
      </c>
      <c r="W23" s="233">
        <f t="shared" si="10"/>
        <v>14533.623333333333</v>
      </c>
      <c r="X23" s="474">
        <f t="shared" si="11"/>
        <v>72668.116666666669</v>
      </c>
      <c r="Y23" s="125">
        <f t="shared" si="12"/>
        <v>4287418.8833333338</v>
      </c>
      <c r="Z23" s="100">
        <v>115.958</v>
      </c>
      <c r="AA23" s="472">
        <v>116.64700000000001</v>
      </c>
      <c r="AB23" s="98">
        <f t="shared" si="13"/>
        <v>0.99409329001174473</v>
      </c>
      <c r="AC23" s="98">
        <f t="shared" si="14"/>
        <v>14435.753815937147</v>
      </c>
      <c r="AD23" s="98">
        <f t="shared" si="15"/>
        <v>14350.486004684557</v>
      </c>
      <c r="AE23" s="98"/>
      <c r="AF23" s="98"/>
      <c r="AG23" s="98"/>
      <c r="AH23" s="98"/>
      <c r="AI23" s="98"/>
      <c r="AJ23" s="98">
        <f t="shared" si="16"/>
        <v>14350.486004684557</v>
      </c>
      <c r="AK23" s="98">
        <f t="shared" si="16"/>
        <v>14350.486004684557</v>
      </c>
      <c r="AL23" s="98">
        <f t="shared" si="16"/>
        <v>14350.486004684557</v>
      </c>
      <c r="AM23" s="98">
        <f t="shared" si="16"/>
        <v>14350.486004684557</v>
      </c>
      <c r="AN23" s="98">
        <f t="shared" si="16"/>
        <v>14350.486004684557</v>
      </c>
      <c r="AO23" s="98">
        <f t="shared" si="16"/>
        <v>14350.486004684557</v>
      </c>
      <c r="AP23" s="98">
        <f t="shared" si="16"/>
        <v>14350.486004684557</v>
      </c>
      <c r="AQ23" s="116">
        <f t="shared" si="17"/>
        <v>100453.4020327919</v>
      </c>
      <c r="AR23" s="116">
        <f t="shared" si="18"/>
        <v>4186965.4813005417</v>
      </c>
    </row>
    <row r="24" spans="1:44" x14ac:dyDescent="0.2">
      <c r="A24" s="145" t="s">
        <v>983</v>
      </c>
      <c r="B24" s="537" t="s">
        <v>982</v>
      </c>
      <c r="C24" s="87" t="s">
        <v>961</v>
      </c>
      <c r="D24" s="101">
        <v>25</v>
      </c>
      <c r="E24" s="91">
        <v>0.04</v>
      </c>
      <c r="F24" s="88"/>
      <c r="G24" s="90">
        <f t="shared" si="0"/>
        <v>300</v>
      </c>
      <c r="H24" s="201">
        <f t="shared" si="1"/>
        <v>0.33333333333333331</v>
      </c>
      <c r="I24" s="233">
        <v>0</v>
      </c>
      <c r="J24" s="90">
        <v>0</v>
      </c>
      <c r="K24" s="233">
        <f t="shared" si="4"/>
        <v>100</v>
      </c>
      <c r="L24" s="90">
        <f t="shared" si="5"/>
        <v>300</v>
      </c>
      <c r="M24" s="233">
        <f t="shared" si="6"/>
        <v>1.3333333333333333</v>
      </c>
      <c r="N24" s="90">
        <v>4</v>
      </c>
      <c r="O24" s="233">
        <f t="shared" si="7"/>
        <v>98.666666666666657</v>
      </c>
      <c r="P24" s="90">
        <f t="shared" si="8"/>
        <v>296</v>
      </c>
      <c r="Q24" s="88">
        <v>51368</v>
      </c>
      <c r="R24" s="88" t="s">
        <v>1078</v>
      </c>
      <c r="S24" s="88">
        <v>42236</v>
      </c>
      <c r="T24" s="89">
        <v>2998211</v>
      </c>
      <c r="U24" s="89">
        <f t="shared" si="9"/>
        <v>0</v>
      </c>
      <c r="V24" s="152">
        <f t="shared" si="19"/>
        <v>2998211</v>
      </c>
      <c r="W24" s="233">
        <f t="shared" si="10"/>
        <v>9994.0366666666669</v>
      </c>
      <c r="X24" s="474">
        <v>0</v>
      </c>
      <c r="Y24" s="125">
        <f t="shared" si="12"/>
        <v>2998211</v>
      </c>
      <c r="Z24" s="100">
        <v>0</v>
      </c>
      <c r="AA24" s="472">
        <v>0</v>
      </c>
      <c r="AB24" s="98">
        <v>0</v>
      </c>
      <c r="AC24" s="98">
        <f t="shared" si="14"/>
        <v>5710.8780952380957</v>
      </c>
      <c r="AD24" s="98">
        <f t="shared" si="15"/>
        <v>0</v>
      </c>
      <c r="AE24" s="98"/>
      <c r="AF24" s="98"/>
      <c r="AG24" s="98"/>
      <c r="AH24" s="98"/>
      <c r="AI24" s="98"/>
      <c r="AJ24" s="98">
        <f>$AD24</f>
        <v>0</v>
      </c>
      <c r="AK24" s="98">
        <f>$AD24</f>
        <v>0</v>
      </c>
      <c r="AL24" s="98">
        <f>$AD24</f>
        <v>0</v>
      </c>
      <c r="AM24" s="98">
        <f t="shared" ref="AM24:AP25" si="20">$AC24</f>
        <v>5710.8780952380957</v>
      </c>
      <c r="AN24" s="98">
        <f t="shared" si="20"/>
        <v>5710.8780952380957</v>
      </c>
      <c r="AO24" s="98">
        <f t="shared" si="20"/>
        <v>5710.8780952380957</v>
      </c>
      <c r="AP24" s="98">
        <f t="shared" si="20"/>
        <v>5710.8780952380957</v>
      </c>
      <c r="AQ24" s="116">
        <f t="shared" si="17"/>
        <v>22843.512380952383</v>
      </c>
      <c r="AR24" s="116">
        <f t="shared" si="18"/>
        <v>2975367.4876190475</v>
      </c>
    </row>
    <row r="25" spans="1:44" x14ac:dyDescent="0.2">
      <c r="A25" s="145" t="s">
        <v>981</v>
      </c>
      <c r="B25" s="537" t="s">
        <v>980</v>
      </c>
      <c r="C25" s="87" t="s">
        <v>961</v>
      </c>
      <c r="D25" s="101">
        <v>25</v>
      </c>
      <c r="E25" s="91">
        <v>0.04</v>
      </c>
      <c r="F25" s="88"/>
      <c r="G25" s="90">
        <f t="shared" si="0"/>
        <v>300</v>
      </c>
      <c r="H25" s="201">
        <f t="shared" si="1"/>
        <v>0.33333333333333331</v>
      </c>
      <c r="I25" s="233">
        <v>0</v>
      </c>
      <c r="J25" s="90">
        <v>0</v>
      </c>
      <c r="K25" s="233">
        <f t="shared" si="4"/>
        <v>100</v>
      </c>
      <c r="L25" s="90">
        <f t="shared" si="5"/>
        <v>300</v>
      </c>
      <c r="M25" s="233">
        <f t="shared" si="6"/>
        <v>1.6666666666666665</v>
      </c>
      <c r="N25" s="90">
        <v>5</v>
      </c>
      <c r="O25" s="233">
        <f t="shared" si="7"/>
        <v>98.333333333333329</v>
      </c>
      <c r="P25" s="90">
        <f t="shared" si="8"/>
        <v>295</v>
      </c>
      <c r="Q25" s="88">
        <v>51330</v>
      </c>
      <c r="R25" s="88" t="s">
        <v>1081</v>
      </c>
      <c r="S25" s="88">
        <v>42198</v>
      </c>
      <c r="T25" s="89">
        <v>2538100</v>
      </c>
      <c r="U25" s="89">
        <f t="shared" si="9"/>
        <v>0</v>
      </c>
      <c r="V25" s="152">
        <f t="shared" si="19"/>
        <v>2538100</v>
      </c>
      <c r="W25" s="233">
        <f t="shared" si="10"/>
        <v>8460.3333333333321</v>
      </c>
      <c r="X25" s="474">
        <v>0</v>
      </c>
      <c r="Y25" s="125">
        <f t="shared" si="12"/>
        <v>2538100</v>
      </c>
      <c r="Z25" s="100">
        <v>0</v>
      </c>
      <c r="AA25" s="472">
        <v>0</v>
      </c>
      <c r="AB25" s="98">
        <v>0</v>
      </c>
      <c r="AC25" s="98">
        <f t="shared" si="14"/>
        <v>6043.0952380952367</v>
      </c>
      <c r="AD25" s="98">
        <f t="shared" si="15"/>
        <v>0</v>
      </c>
      <c r="AE25" s="98"/>
      <c r="AF25" s="98"/>
      <c r="AG25" s="98"/>
      <c r="AH25" s="98"/>
      <c r="AI25" s="98"/>
      <c r="AJ25" s="98">
        <f t="shared" ref="AJ25:AK36" si="21">$AD25</f>
        <v>0</v>
      </c>
      <c r="AK25" s="98">
        <f t="shared" si="21"/>
        <v>0</v>
      </c>
      <c r="AL25" s="98">
        <f>$AC25</f>
        <v>6043.0952380952367</v>
      </c>
      <c r="AM25" s="98">
        <f t="shared" si="20"/>
        <v>6043.0952380952367</v>
      </c>
      <c r="AN25" s="98">
        <f t="shared" si="20"/>
        <v>6043.0952380952367</v>
      </c>
      <c r="AO25" s="98">
        <f t="shared" si="20"/>
        <v>6043.0952380952367</v>
      </c>
      <c r="AP25" s="98">
        <f t="shared" si="20"/>
        <v>6043.0952380952367</v>
      </c>
      <c r="AQ25" s="116">
        <f t="shared" si="17"/>
        <v>30215.476190476184</v>
      </c>
      <c r="AR25" s="116">
        <f t="shared" si="18"/>
        <v>2507884.5238095238</v>
      </c>
    </row>
    <row r="26" spans="1:44" x14ac:dyDescent="0.2">
      <c r="A26" s="145" t="s">
        <v>979</v>
      </c>
      <c r="B26" s="537" t="s">
        <v>978</v>
      </c>
      <c r="C26" s="87" t="s">
        <v>961</v>
      </c>
      <c r="D26" s="101">
        <v>25</v>
      </c>
      <c r="E26" s="91">
        <v>0.04</v>
      </c>
      <c r="F26" s="88">
        <v>42185</v>
      </c>
      <c r="G26" s="90">
        <f t="shared" si="0"/>
        <v>300</v>
      </c>
      <c r="H26" s="201">
        <f t="shared" si="1"/>
        <v>0.33333333333333331</v>
      </c>
      <c r="I26" s="233">
        <f t="shared" ref="I26:I36" si="22">H26*J26</f>
        <v>1.6666666666666665</v>
      </c>
      <c r="J26" s="90">
        <f t="shared" ref="J26:J36" si="23">(YEAR(F26)-YEAR(S26))*12+MONTH(F26)-MONTH(S26)</f>
        <v>5</v>
      </c>
      <c r="K26" s="233">
        <f t="shared" si="4"/>
        <v>98.333333333333329</v>
      </c>
      <c r="L26" s="90">
        <f t="shared" si="5"/>
        <v>295</v>
      </c>
      <c r="M26" s="233">
        <f t="shared" si="6"/>
        <v>2.333333333333333</v>
      </c>
      <c r="N26" s="90">
        <v>7</v>
      </c>
      <c r="O26" s="233">
        <f t="shared" si="7"/>
        <v>96</v>
      </c>
      <c r="P26" s="90">
        <f t="shared" si="8"/>
        <v>288</v>
      </c>
      <c r="Q26" s="88">
        <v>51136</v>
      </c>
      <c r="R26" s="88" t="s">
        <v>1082</v>
      </c>
      <c r="S26" s="88">
        <v>42005</v>
      </c>
      <c r="T26" s="89">
        <v>55258.5</v>
      </c>
      <c r="U26" s="89">
        <f t="shared" si="9"/>
        <v>920.97500000000002</v>
      </c>
      <c r="V26" s="152">
        <f t="shared" si="19"/>
        <v>55258.5</v>
      </c>
      <c r="W26" s="233">
        <f t="shared" ref="W26:W46" si="24">T26*H26%</f>
        <v>184.19499999999999</v>
      </c>
      <c r="X26" s="474">
        <f t="shared" ref="X26:X34" si="25">W26*5</f>
        <v>920.97499999999991</v>
      </c>
      <c r="Y26" s="125">
        <f t="shared" si="12"/>
        <v>54337.525000000001</v>
      </c>
      <c r="Z26" s="100">
        <v>115.958</v>
      </c>
      <c r="AA26" s="472">
        <v>115.95399999999999</v>
      </c>
      <c r="AB26" s="98">
        <f t="shared" ref="AB26:AB36" si="26">Z26/AA26</f>
        <v>1.0000344964382428</v>
      </c>
      <c r="AC26" s="98">
        <f t="shared" si="14"/>
        <v>184.19499999999999</v>
      </c>
      <c r="AD26" s="98">
        <f t="shared" si="15"/>
        <v>184.20135407144213</v>
      </c>
      <c r="AE26" s="98"/>
      <c r="AF26" s="98"/>
      <c r="AG26" s="98"/>
      <c r="AH26" s="98"/>
      <c r="AI26" s="98"/>
      <c r="AJ26" s="98">
        <f t="shared" si="21"/>
        <v>184.20135407144213</v>
      </c>
      <c r="AK26" s="98">
        <f t="shared" si="21"/>
        <v>184.20135407144213</v>
      </c>
      <c r="AL26" s="98">
        <f t="shared" ref="AL26:AP36" si="27">$AD26</f>
        <v>184.20135407144213</v>
      </c>
      <c r="AM26" s="98">
        <f t="shared" si="27"/>
        <v>184.20135407144213</v>
      </c>
      <c r="AN26" s="98">
        <f t="shared" si="27"/>
        <v>184.20135407144213</v>
      </c>
      <c r="AO26" s="98">
        <f t="shared" si="27"/>
        <v>184.20135407144213</v>
      </c>
      <c r="AP26" s="98">
        <f t="shared" si="27"/>
        <v>184.20135407144213</v>
      </c>
      <c r="AQ26" s="116">
        <f t="shared" si="17"/>
        <v>1289.409478500095</v>
      </c>
      <c r="AR26" s="116">
        <f t="shared" si="18"/>
        <v>53048.115521499909</v>
      </c>
    </row>
    <row r="27" spans="1:44" x14ac:dyDescent="0.2">
      <c r="A27" s="145" t="s">
        <v>977</v>
      </c>
      <c r="B27" s="537" t="s">
        <v>976</v>
      </c>
      <c r="C27" s="87" t="s">
        <v>961</v>
      </c>
      <c r="D27" s="101">
        <v>25</v>
      </c>
      <c r="E27" s="91">
        <v>0.04</v>
      </c>
      <c r="F27" s="88">
        <v>42185</v>
      </c>
      <c r="G27" s="90">
        <f t="shared" si="0"/>
        <v>300</v>
      </c>
      <c r="H27" s="201">
        <f t="shared" si="1"/>
        <v>0.33333333333333331</v>
      </c>
      <c r="I27" s="233">
        <f t="shared" si="22"/>
        <v>1.6666666666666665</v>
      </c>
      <c r="J27" s="90">
        <f t="shared" si="23"/>
        <v>5</v>
      </c>
      <c r="K27" s="233">
        <f t="shared" si="4"/>
        <v>98.333333333333329</v>
      </c>
      <c r="L27" s="90">
        <f t="shared" si="5"/>
        <v>295</v>
      </c>
      <c r="M27" s="233">
        <f t="shared" si="6"/>
        <v>2.333333333333333</v>
      </c>
      <c r="N27" s="90">
        <v>7</v>
      </c>
      <c r="O27" s="233">
        <f t="shared" si="7"/>
        <v>96</v>
      </c>
      <c r="P27" s="90">
        <f t="shared" si="8"/>
        <v>288</v>
      </c>
      <c r="Q27" s="88">
        <v>51136</v>
      </c>
      <c r="R27" s="88" t="s">
        <v>1083</v>
      </c>
      <c r="S27" s="88">
        <v>42005</v>
      </c>
      <c r="T27" s="89">
        <v>316434</v>
      </c>
      <c r="U27" s="89">
        <f t="shared" si="9"/>
        <v>5273.9</v>
      </c>
      <c r="V27" s="152">
        <f t="shared" si="19"/>
        <v>316434</v>
      </c>
      <c r="W27" s="233">
        <f t="shared" si="24"/>
        <v>1054.78</v>
      </c>
      <c r="X27" s="474">
        <f t="shared" si="25"/>
        <v>5273.9</v>
      </c>
      <c r="Y27" s="125">
        <f t="shared" si="12"/>
        <v>311160.09999999998</v>
      </c>
      <c r="Z27" s="100">
        <v>115.958</v>
      </c>
      <c r="AA27" s="472">
        <v>115.95399999999999</v>
      </c>
      <c r="AB27" s="98">
        <f t="shared" si="26"/>
        <v>1.0000344964382428</v>
      </c>
      <c r="AC27" s="98">
        <f t="shared" si="14"/>
        <v>1054.7799999999997</v>
      </c>
      <c r="AD27" s="98">
        <f t="shared" si="15"/>
        <v>1054.8163861531295</v>
      </c>
      <c r="AE27" s="98"/>
      <c r="AF27" s="98"/>
      <c r="AG27" s="98"/>
      <c r="AH27" s="98"/>
      <c r="AI27" s="98"/>
      <c r="AJ27" s="98">
        <f t="shared" si="21"/>
        <v>1054.8163861531295</v>
      </c>
      <c r="AK27" s="98">
        <f t="shared" si="21"/>
        <v>1054.8163861531295</v>
      </c>
      <c r="AL27" s="98">
        <f t="shared" si="27"/>
        <v>1054.8163861531295</v>
      </c>
      <c r="AM27" s="98">
        <f t="shared" si="27"/>
        <v>1054.8163861531295</v>
      </c>
      <c r="AN27" s="98">
        <f t="shared" si="27"/>
        <v>1054.8163861531295</v>
      </c>
      <c r="AO27" s="98">
        <f t="shared" si="27"/>
        <v>1054.8163861531295</v>
      </c>
      <c r="AP27" s="98">
        <f t="shared" si="27"/>
        <v>1054.8163861531295</v>
      </c>
      <c r="AQ27" s="116">
        <f t="shared" si="17"/>
        <v>7383.7147030719061</v>
      </c>
      <c r="AR27" s="116">
        <f t="shared" si="18"/>
        <v>303776.38529692806</v>
      </c>
    </row>
    <row r="28" spans="1:44" x14ac:dyDescent="0.2">
      <c r="A28" s="145" t="s">
        <v>975</v>
      </c>
      <c r="B28" s="537" t="s">
        <v>974</v>
      </c>
      <c r="C28" s="87" t="s">
        <v>961</v>
      </c>
      <c r="D28" s="101">
        <v>25</v>
      </c>
      <c r="E28" s="91">
        <v>0.04</v>
      </c>
      <c r="F28" s="88">
        <v>42185</v>
      </c>
      <c r="G28" s="90">
        <f t="shared" si="0"/>
        <v>300</v>
      </c>
      <c r="H28" s="201">
        <f t="shared" si="1"/>
        <v>0.33333333333333331</v>
      </c>
      <c r="I28" s="233">
        <f t="shared" si="22"/>
        <v>1.6666666666666665</v>
      </c>
      <c r="J28" s="90">
        <f t="shared" si="23"/>
        <v>5</v>
      </c>
      <c r="K28" s="233">
        <f t="shared" si="4"/>
        <v>98.333333333333329</v>
      </c>
      <c r="L28" s="90">
        <f t="shared" si="5"/>
        <v>295</v>
      </c>
      <c r="M28" s="233">
        <f t="shared" si="6"/>
        <v>2.333333333333333</v>
      </c>
      <c r="N28" s="90">
        <v>7</v>
      </c>
      <c r="O28" s="233">
        <f t="shared" si="7"/>
        <v>96</v>
      </c>
      <c r="P28" s="90">
        <f t="shared" si="8"/>
        <v>288</v>
      </c>
      <c r="Q28" s="88">
        <v>51136</v>
      </c>
      <c r="R28" s="88" t="s">
        <v>1084</v>
      </c>
      <c r="S28" s="88">
        <v>42005</v>
      </c>
      <c r="T28" s="89">
        <v>458896</v>
      </c>
      <c r="U28" s="89">
        <f t="shared" si="9"/>
        <v>7648.2666666666664</v>
      </c>
      <c r="V28" s="152">
        <f t="shared" si="19"/>
        <v>458896</v>
      </c>
      <c r="W28" s="233">
        <f t="shared" si="24"/>
        <v>1529.6533333333332</v>
      </c>
      <c r="X28" s="474">
        <f t="shared" si="25"/>
        <v>7648.2666666666664</v>
      </c>
      <c r="Y28" s="125">
        <f t="shared" si="12"/>
        <v>451247.73333333334</v>
      </c>
      <c r="Z28" s="100">
        <v>115.958</v>
      </c>
      <c r="AA28" s="472">
        <v>115.95399999999999</v>
      </c>
      <c r="AB28" s="98">
        <f t="shared" si="26"/>
        <v>1.0000344964382428</v>
      </c>
      <c r="AC28" s="98">
        <f t="shared" si="14"/>
        <v>1529.6533333333334</v>
      </c>
      <c r="AD28" s="98">
        <f t="shared" si="15"/>
        <v>1529.7061009250797</v>
      </c>
      <c r="AE28" s="98"/>
      <c r="AF28" s="98"/>
      <c r="AG28" s="98"/>
      <c r="AH28" s="98"/>
      <c r="AI28" s="98"/>
      <c r="AJ28" s="98">
        <f t="shared" si="21"/>
        <v>1529.7061009250797</v>
      </c>
      <c r="AK28" s="98">
        <f t="shared" si="21"/>
        <v>1529.7061009250797</v>
      </c>
      <c r="AL28" s="98">
        <f t="shared" si="27"/>
        <v>1529.7061009250797</v>
      </c>
      <c r="AM28" s="98">
        <f t="shared" si="27"/>
        <v>1529.7061009250797</v>
      </c>
      <c r="AN28" s="98">
        <f t="shared" si="27"/>
        <v>1529.7061009250797</v>
      </c>
      <c r="AO28" s="98">
        <f t="shared" si="27"/>
        <v>1529.7061009250797</v>
      </c>
      <c r="AP28" s="98">
        <f t="shared" si="27"/>
        <v>1529.7061009250797</v>
      </c>
      <c r="AQ28" s="116">
        <f t="shared" si="17"/>
        <v>10707.942706475556</v>
      </c>
      <c r="AR28" s="116">
        <f t="shared" si="18"/>
        <v>440539.79062685778</v>
      </c>
    </row>
    <row r="29" spans="1:44" hidden="1" x14ac:dyDescent="0.2">
      <c r="A29" s="145" t="s">
        <v>968</v>
      </c>
      <c r="B29" s="537" t="s">
        <v>967</v>
      </c>
      <c r="C29" s="87" t="s">
        <v>961</v>
      </c>
      <c r="D29" s="101">
        <v>25</v>
      </c>
      <c r="E29" s="91">
        <v>0.04</v>
      </c>
      <c r="F29" s="88">
        <v>42185</v>
      </c>
      <c r="G29" s="90">
        <f t="shared" si="0"/>
        <v>300</v>
      </c>
      <c r="H29" s="201">
        <f t="shared" si="1"/>
        <v>0.33333333333333331</v>
      </c>
      <c r="I29" s="233">
        <f t="shared" si="22"/>
        <v>1.6666666666666665</v>
      </c>
      <c r="J29" s="90">
        <f t="shared" si="23"/>
        <v>5</v>
      </c>
      <c r="K29" s="233">
        <f t="shared" si="4"/>
        <v>98.333333333333329</v>
      </c>
      <c r="L29" s="90">
        <f t="shared" si="5"/>
        <v>295</v>
      </c>
      <c r="M29" s="233">
        <f t="shared" si="6"/>
        <v>2.333333333333333</v>
      </c>
      <c r="N29" s="90">
        <v>7</v>
      </c>
      <c r="O29" s="233">
        <f t="shared" si="7"/>
        <v>96</v>
      </c>
      <c r="P29" s="90">
        <f t="shared" si="8"/>
        <v>288</v>
      </c>
      <c r="Q29" s="88">
        <v>51136</v>
      </c>
      <c r="R29" s="88"/>
      <c r="S29" s="88">
        <v>42005</v>
      </c>
      <c r="T29" s="89">
        <v>0</v>
      </c>
      <c r="U29" s="89">
        <f t="shared" si="9"/>
        <v>0</v>
      </c>
      <c r="V29" s="152">
        <f t="shared" si="19"/>
        <v>0</v>
      </c>
      <c r="W29" s="233">
        <f t="shared" si="24"/>
        <v>0</v>
      </c>
      <c r="X29" s="474">
        <f t="shared" si="25"/>
        <v>0</v>
      </c>
      <c r="Y29" s="125">
        <f t="shared" si="12"/>
        <v>0</v>
      </c>
      <c r="Z29" s="100">
        <v>115.958</v>
      </c>
      <c r="AA29" s="472">
        <v>115.95399999999999</v>
      </c>
      <c r="AB29" s="98">
        <f t="shared" si="26"/>
        <v>1.0000344964382428</v>
      </c>
      <c r="AC29" s="98">
        <f t="shared" si="14"/>
        <v>0</v>
      </c>
      <c r="AD29" s="98">
        <f t="shared" si="15"/>
        <v>0</v>
      </c>
      <c r="AE29" s="98"/>
      <c r="AF29" s="98"/>
      <c r="AG29" s="98"/>
      <c r="AH29" s="98"/>
      <c r="AI29" s="98"/>
      <c r="AJ29" s="98">
        <f t="shared" si="21"/>
        <v>0</v>
      </c>
      <c r="AK29" s="98">
        <f t="shared" si="21"/>
        <v>0</v>
      </c>
      <c r="AL29" s="98">
        <f t="shared" si="27"/>
        <v>0</v>
      </c>
      <c r="AM29" s="98">
        <f t="shared" si="27"/>
        <v>0</v>
      </c>
      <c r="AN29" s="98">
        <f t="shared" si="27"/>
        <v>0</v>
      </c>
      <c r="AO29" s="98">
        <f t="shared" si="27"/>
        <v>0</v>
      </c>
      <c r="AP29" s="98">
        <f t="shared" si="27"/>
        <v>0</v>
      </c>
      <c r="AQ29" s="116">
        <f t="shared" si="17"/>
        <v>0</v>
      </c>
      <c r="AR29" s="116">
        <f t="shared" si="18"/>
        <v>0</v>
      </c>
    </row>
    <row r="30" spans="1:44" x14ac:dyDescent="0.2">
      <c r="A30" s="145" t="s">
        <v>973</v>
      </c>
      <c r="B30" s="537" t="s">
        <v>972</v>
      </c>
      <c r="C30" s="87" t="s">
        <v>961</v>
      </c>
      <c r="D30" s="101">
        <v>25</v>
      </c>
      <c r="E30" s="91">
        <v>0.04</v>
      </c>
      <c r="F30" s="88">
        <v>42185</v>
      </c>
      <c r="G30" s="90">
        <f t="shared" si="0"/>
        <v>300</v>
      </c>
      <c r="H30" s="201">
        <f t="shared" si="1"/>
        <v>0.33333333333333331</v>
      </c>
      <c r="I30" s="233">
        <f t="shared" si="22"/>
        <v>1.6666666666666665</v>
      </c>
      <c r="J30" s="90">
        <f t="shared" si="23"/>
        <v>5</v>
      </c>
      <c r="K30" s="233">
        <f t="shared" si="4"/>
        <v>98.333333333333329</v>
      </c>
      <c r="L30" s="90">
        <f t="shared" si="5"/>
        <v>295</v>
      </c>
      <c r="M30" s="233">
        <f t="shared" si="6"/>
        <v>2.333333333333333</v>
      </c>
      <c r="N30" s="90">
        <v>7</v>
      </c>
      <c r="O30" s="233">
        <f t="shared" si="7"/>
        <v>96</v>
      </c>
      <c r="P30" s="90">
        <f t="shared" si="8"/>
        <v>288</v>
      </c>
      <c r="Q30" s="88">
        <v>51136</v>
      </c>
      <c r="R30" s="88" t="s">
        <v>1085</v>
      </c>
      <c r="S30" s="88">
        <v>42005</v>
      </c>
      <c r="T30" s="89">
        <v>508990</v>
      </c>
      <c r="U30" s="89">
        <f t="shared" si="9"/>
        <v>8483.1666666666661</v>
      </c>
      <c r="V30" s="152">
        <f t="shared" si="19"/>
        <v>508990</v>
      </c>
      <c r="W30" s="233">
        <f t="shared" si="24"/>
        <v>1696.6333333333332</v>
      </c>
      <c r="X30" s="474">
        <f t="shared" si="25"/>
        <v>8483.1666666666661</v>
      </c>
      <c r="Y30" s="125">
        <f t="shared" si="12"/>
        <v>500506.83333333331</v>
      </c>
      <c r="Z30" s="100">
        <v>115.958</v>
      </c>
      <c r="AA30" s="472">
        <v>115.95399999999999</v>
      </c>
      <c r="AB30" s="98">
        <f t="shared" si="26"/>
        <v>1.0000344964382428</v>
      </c>
      <c r="AC30" s="98">
        <f t="shared" si="14"/>
        <v>1696.633333333333</v>
      </c>
      <c r="AD30" s="98">
        <f t="shared" si="15"/>
        <v>1696.6918611403371</v>
      </c>
      <c r="AE30" s="98"/>
      <c r="AF30" s="98"/>
      <c r="AG30" s="98"/>
      <c r="AH30" s="98"/>
      <c r="AI30" s="98"/>
      <c r="AJ30" s="98">
        <f t="shared" si="21"/>
        <v>1696.6918611403371</v>
      </c>
      <c r="AK30" s="98">
        <f t="shared" si="21"/>
        <v>1696.6918611403371</v>
      </c>
      <c r="AL30" s="98">
        <f t="shared" si="27"/>
        <v>1696.6918611403371</v>
      </c>
      <c r="AM30" s="98">
        <f t="shared" si="27"/>
        <v>1696.6918611403371</v>
      </c>
      <c r="AN30" s="98">
        <f t="shared" si="27"/>
        <v>1696.6918611403371</v>
      </c>
      <c r="AO30" s="98">
        <f t="shared" si="27"/>
        <v>1696.6918611403371</v>
      </c>
      <c r="AP30" s="98">
        <f t="shared" si="27"/>
        <v>1696.6918611403371</v>
      </c>
      <c r="AQ30" s="116">
        <f t="shared" si="17"/>
        <v>11876.843027982362</v>
      </c>
      <c r="AR30" s="116">
        <f t="shared" si="18"/>
        <v>488629.99030535098</v>
      </c>
    </row>
    <row r="31" spans="1:44" x14ac:dyDescent="0.2">
      <c r="A31" s="145" t="s">
        <v>971</v>
      </c>
      <c r="B31" s="537" t="s">
        <v>970</v>
      </c>
      <c r="C31" s="87" t="s">
        <v>961</v>
      </c>
      <c r="D31" s="101">
        <v>25</v>
      </c>
      <c r="E31" s="91">
        <v>0.04</v>
      </c>
      <c r="F31" s="88">
        <v>42185</v>
      </c>
      <c r="G31" s="90">
        <f t="shared" si="0"/>
        <v>300</v>
      </c>
      <c r="H31" s="201">
        <f t="shared" si="1"/>
        <v>0.33333333333333331</v>
      </c>
      <c r="I31" s="233">
        <f t="shared" si="22"/>
        <v>1.6666666666666665</v>
      </c>
      <c r="J31" s="90">
        <f t="shared" si="23"/>
        <v>5</v>
      </c>
      <c r="K31" s="233">
        <f t="shared" si="4"/>
        <v>98.333333333333329</v>
      </c>
      <c r="L31" s="90">
        <f t="shared" si="5"/>
        <v>295</v>
      </c>
      <c r="M31" s="233">
        <f t="shared" si="6"/>
        <v>2.333333333333333</v>
      </c>
      <c r="N31" s="90">
        <v>7</v>
      </c>
      <c r="O31" s="233">
        <f t="shared" si="7"/>
        <v>96</v>
      </c>
      <c r="P31" s="90">
        <f t="shared" si="8"/>
        <v>288</v>
      </c>
      <c r="Q31" s="88">
        <v>51136</v>
      </c>
      <c r="R31" s="88" t="s">
        <v>1086</v>
      </c>
      <c r="S31" s="88">
        <v>42005</v>
      </c>
      <c r="T31" s="89">
        <v>417128</v>
      </c>
      <c r="U31" s="89">
        <f t="shared" si="9"/>
        <v>6952.1333333333332</v>
      </c>
      <c r="V31" s="152">
        <f t="shared" si="19"/>
        <v>417128</v>
      </c>
      <c r="W31" s="233">
        <f t="shared" si="24"/>
        <v>1390.4266666666665</v>
      </c>
      <c r="X31" s="474">
        <f t="shared" si="25"/>
        <v>6952.1333333333323</v>
      </c>
      <c r="Y31" s="125">
        <f t="shared" si="12"/>
        <v>410175.86666666664</v>
      </c>
      <c r="Z31" s="100">
        <v>115.958</v>
      </c>
      <c r="AA31" s="472">
        <v>115.95399999999999</v>
      </c>
      <c r="AB31" s="98">
        <f t="shared" si="26"/>
        <v>1.0000344964382428</v>
      </c>
      <c r="AC31" s="98">
        <f t="shared" si="14"/>
        <v>1390.4266666666665</v>
      </c>
      <c r="AD31" s="98">
        <f t="shared" si="15"/>
        <v>1390.4746314343045</v>
      </c>
      <c r="AE31" s="98"/>
      <c r="AF31" s="98"/>
      <c r="AG31" s="98"/>
      <c r="AH31" s="98"/>
      <c r="AI31" s="98"/>
      <c r="AJ31" s="98">
        <f t="shared" si="21"/>
        <v>1390.4746314343045</v>
      </c>
      <c r="AK31" s="98">
        <f t="shared" si="21"/>
        <v>1390.4746314343045</v>
      </c>
      <c r="AL31" s="98">
        <f t="shared" si="27"/>
        <v>1390.4746314343045</v>
      </c>
      <c r="AM31" s="98">
        <f t="shared" si="27"/>
        <v>1390.4746314343045</v>
      </c>
      <c r="AN31" s="98">
        <f t="shared" si="27"/>
        <v>1390.4746314343045</v>
      </c>
      <c r="AO31" s="98">
        <f t="shared" si="27"/>
        <v>1390.4746314343045</v>
      </c>
      <c r="AP31" s="98">
        <f t="shared" si="27"/>
        <v>1390.4746314343045</v>
      </c>
      <c r="AQ31" s="116">
        <f t="shared" si="17"/>
        <v>9733.322420040131</v>
      </c>
      <c r="AR31" s="116">
        <f t="shared" si="18"/>
        <v>400442.54424662649</v>
      </c>
    </row>
    <row r="32" spans="1:44" x14ac:dyDescent="0.2">
      <c r="A32" s="145" t="s">
        <v>1109</v>
      </c>
      <c r="B32" s="537" t="s">
        <v>969</v>
      </c>
      <c r="C32" s="87" t="s">
        <v>961</v>
      </c>
      <c r="D32" s="101">
        <v>25</v>
      </c>
      <c r="E32" s="91">
        <v>0.04</v>
      </c>
      <c r="F32" s="88">
        <v>42185</v>
      </c>
      <c r="G32" s="90">
        <f t="shared" si="0"/>
        <v>300</v>
      </c>
      <c r="H32" s="201">
        <f t="shared" si="1"/>
        <v>0.33333333333333331</v>
      </c>
      <c r="I32" s="233">
        <f t="shared" si="22"/>
        <v>1.6666666666666665</v>
      </c>
      <c r="J32" s="90">
        <f t="shared" si="23"/>
        <v>5</v>
      </c>
      <c r="K32" s="233">
        <f t="shared" si="4"/>
        <v>98.333333333333329</v>
      </c>
      <c r="L32" s="90">
        <f t="shared" si="5"/>
        <v>295</v>
      </c>
      <c r="M32" s="233">
        <f t="shared" si="6"/>
        <v>2.333333333333333</v>
      </c>
      <c r="N32" s="90">
        <v>7</v>
      </c>
      <c r="O32" s="233">
        <f t="shared" si="7"/>
        <v>96</v>
      </c>
      <c r="P32" s="90">
        <f t="shared" si="8"/>
        <v>288</v>
      </c>
      <c r="Q32" s="88">
        <v>51136</v>
      </c>
      <c r="R32" s="88" t="s">
        <v>1110</v>
      </c>
      <c r="S32" s="88">
        <v>42005</v>
      </c>
      <c r="T32" s="89">
        <v>472800</v>
      </c>
      <c r="U32" s="89">
        <f t="shared" si="9"/>
        <v>7880</v>
      </c>
      <c r="V32" s="152">
        <f t="shared" si="19"/>
        <v>472800</v>
      </c>
      <c r="W32" s="233">
        <f t="shared" si="24"/>
        <v>1576</v>
      </c>
      <c r="X32" s="474">
        <f t="shared" si="25"/>
        <v>7880</v>
      </c>
      <c r="Y32" s="125">
        <f t="shared" si="12"/>
        <v>464920</v>
      </c>
      <c r="Z32" s="100">
        <v>115.958</v>
      </c>
      <c r="AA32" s="472">
        <v>115.95399999999999</v>
      </c>
      <c r="AB32" s="98">
        <f t="shared" si="26"/>
        <v>1.0000344964382428</v>
      </c>
      <c r="AC32" s="98">
        <f t="shared" si="14"/>
        <v>1576</v>
      </c>
      <c r="AD32" s="98">
        <f t="shared" si="15"/>
        <v>1576.0543663866706</v>
      </c>
      <c r="AE32" s="98"/>
      <c r="AF32" s="98"/>
      <c r="AG32" s="98"/>
      <c r="AH32" s="98"/>
      <c r="AI32" s="98"/>
      <c r="AJ32" s="98">
        <f t="shared" si="21"/>
        <v>1576.0543663866706</v>
      </c>
      <c r="AK32" s="98">
        <f t="shared" si="21"/>
        <v>1576.0543663866706</v>
      </c>
      <c r="AL32" s="98">
        <f t="shared" si="27"/>
        <v>1576.0543663866706</v>
      </c>
      <c r="AM32" s="98">
        <f t="shared" si="27"/>
        <v>1576.0543663866706</v>
      </c>
      <c r="AN32" s="98">
        <f t="shared" si="27"/>
        <v>1576.0543663866706</v>
      </c>
      <c r="AO32" s="98">
        <f t="shared" si="27"/>
        <v>1576.0543663866706</v>
      </c>
      <c r="AP32" s="98">
        <f t="shared" si="27"/>
        <v>1576.0543663866706</v>
      </c>
      <c r="AQ32" s="116">
        <f t="shared" si="17"/>
        <v>11032.380564706693</v>
      </c>
      <c r="AR32" s="116">
        <f t="shared" si="18"/>
        <v>453887.61943529331</v>
      </c>
    </row>
    <row r="33" spans="1:44" hidden="1" x14ac:dyDescent="0.2">
      <c r="A33" s="145" t="s">
        <v>963</v>
      </c>
      <c r="B33" s="537" t="s">
        <v>962</v>
      </c>
      <c r="C33" s="87" t="s">
        <v>961</v>
      </c>
      <c r="D33" s="101">
        <v>25</v>
      </c>
      <c r="E33" s="91">
        <v>0.04</v>
      </c>
      <c r="F33" s="88">
        <v>42185</v>
      </c>
      <c r="G33" s="90">
        <f t="shared" si="0"/>
        <v>300</v>
      </c>
      <c r="H33" s="201">
        <f t="shared" si="1"/>
        <v>0.33333333333333331</v>
      </c>
      <c r="I33" s="233">
        <f t="shared" si="22"/>
        <v>1.6666666666666665</v>
      </c>
      <c r="J33" s="90">
        <f t="shared" si="23"/>
        <v>5</v>
      </c>
      <c r="K33" s="233">
        <f t="shared" si="4"/>
        <v>98.333333333333329</v>
      </c>
      <c r="L33" s="90">
        <f t="shared" si="5"/>
        <v>295</v>
      </c>
      <c r="M33" s="233">
        <f t="shared" si="6"/>
        <v>2.333333333333333</v>
      </c>
      <c r="N33" s="90">
        <v>7</v>
      </c>
      <c r="O33" s="233">
        <f t="shared" si="7"/>
        <v>96</v>
      </c>
      <c r="P33" s="90">
        <f t="shared" si="8"/>
        <v>288</v>
      </c>
      <c r="Q33" s="88">
        <v>51136</v>
      </c>
      <c r="R33" s="88"/>
      <c r="S33" s="88">
        <v>42005</v>
      </c>
      <c r="T33" s="89">
        <v>0</v>
      </c>
      <c r="U33" s="89">
        <f t="shared" si="9"/>
        <v>0</v>
      </c>
      <c r="V33" s="152">
        <f t="shared" si="19"/>
        <v>0</v>
      </c>
      <c r="W33" s="233">
        <f t="shared" si="24"/>
        <v>0</v>
      </c>
      <c r="X33" s="474">
        <f t="shared" si="25"/>
        <v>0</v>
      </c>
      <c r="Y33" s="125">
        <f t="shared" si="12"/>
        <v>0</v>
      </c>
      <c r="Z33" s="100">
        <v>115.958</v>
      </c>
      <c r="AA33" s="472">
        <v>115.95399999999999</v>
      </c>
      <c r="AB33" s="98">
        <f t="shared" si="26"/>
        <v>1.0000344964382428</v>
      </c>
      <c r="AC33" s="98">
        <f t="shared" si="14"/>
        <v>0</v>
      </c>
      <c r="AD33" s="98">
        <f t="shared" si="15"/>
        <v>0</v>
      </c>
      <c r="AE33" s="98"/>
      <c r="AF33" s="98"/>
      <c r="AG33" s="98"/>
      <c r="AH33" s="98"/>
      <c r="AI33" s="98"/>
      <c r="AJ33" s="98">
        <f t="shared" si="21"/>
        <v>0</v>
      </c>
      <c r="AK33" s="98">
        <f t="shared" si="21"/>
        <v>0</v>
      </c>
      <c r="AL33" s="98">
        <f t="shared" si="27"/>
        <v>0</v>
      </c>
      <c r="AM33" s="98">
        <f t="shared" si="27"/>
        <v>0</v>
      </c>
      <c r="AN33" s="98">
        <f t="shared" si="27"/>
        <v>0</v>
      </c>
      <c r="AO33" s="98">
        <f t="shared" si="27"/>
        <v>0</v>
      </c>
      <c r="AP33" s="98">
        <f t="shared" si="27"/>
        <v>0</v>
      </c>
      <c r="AQ33" s="116">
        <f t="shared" si="17"/>
        <v>0</v>
      </c>
      <c r="AR33" s="116">
        <f t="shared" si="18"/>
        <v>0</v>
      </c>
    </row>
    <row r="34" spans="1:44" x14ac:dyDescent="0.2">
      <c r="A34" s="145" t="s">
        <v>1094</v>
      </c>
      <c r="B34" s="537" t="s">
        <v>966</v>
      </c>
      <c r="C34" s="87" t="s">
        <v>961</v>
      </c>
      <c r="D34" s="101">
        <v>25</v>
      </c>
      <c r="E34" s="91">
        <v>0.04</v>
      </c>
      <c r="F34" s="88">
        <v>42185</v>
      </c>
      <c r="G34" s="90">
        <f t="shared" si="0"/>
        <v>300</v>
      </c>
      <c r="H34" s="201">
        <f t="shared" si="1"/>
        <v>0.33333333333333331</v>
      </c>
      <c r="I34" s="233">
        <f t="shared" si="22"/>
        <v>1.6666666666666665</v>
      </c>
      <c r="J34" s="90">
        <f t="shared" si="23"/>
        <v>5</v>
      </c>
      <c r="K34" s="233">
        <f t="shared" si="4"/>
        <v>98.333333333333329</v>
      </c>
      <c r="L34" s="90">
        <f t="shared" si="5"/>
        <v>295</v>
      </c>
      <c r="M34" s="233">
        <f t="shared" si="6"/>
        <v>2.333333333333333</v>
      </c>
      <c r="N34" s="90">
        <v>7</v>
      </c>
      <c r="O34" s="233">
        <f t="shared" si="7"/>
        <v>96</v>
      </c>
      <c r="P34" s="90">
        <f t="shared" si="8"/>
        <v>288</v>
      </c>
      <c r="Q34" s="88">
        <v>51136</v>
      </c>
      <c r="R34" s="88" t="s">
        <v>1108</v>
      </c>
      <c r="S34" s="88">
        <v>42005</v>
      </c>
      <c r="T34" s="89">
        <v>120000</v>
      </c>
      <c r="U34" s="89">
        <f t="shared" si="9"/>
        <v>2000</v>
      </c>
      <c r="V34" s="152">
        <f t="shared" si="19"/>
        <v>120000</v>
      </c>
      <c r="W34" s="233">
        <f t="shared" si="24"/>
        <v>400</v>
      </c>
      <c r="X34" s="474">
        <f t="shared" si="25"/>
        <v>2000</v>
      </c>
      <c r="Y34" s="125">
        <f t="shared" si="12"/>
        <v>118000</v>
      </c>
      <c r="Z34" s="100">
        <v>115.958</v>
      </c>
      <c r="AA34" s="472">
        <v>115.95399999999999</v>
      </c>
      <c r="AB34" s="98">
        <f t="shared" si="26"/>
        <v>1.0000344964382428</v>
      </c>
      <c r="AC34" s="98">
        <f t="shared" si="14"/>
        <v>400</v>
      </c>
      <c r="AD34" s="98">
        <f t="shared" si="15"/>
        <v>400.01379857529713</v>
      </c>
      <c r="AE34" s="98"/>
      <c r="AF34" s="98"/>
      <c r="AG34" s="98"/>
      <c r="AH34" s="98"/>
      <c r="AI34" s="98"/>
      <c r="AJ34" s="98">
        <f t="shared" si="21"/>
        <v>400.01379857529713</v>
      </c>
      <c r="AK34" s="98">
        <f t="shared" si="21"/>
        <v>400.01379857529713</v>
      </c>
      <c r="AL34" s="98">
        <f t="shared" si="27"/>
        <v>400.01379857529713</v>
      </c>
      <c r="AM34" s="98">
        <f t="shared" si="27"/>
        <v>400.01379857529713</v>
      </c>
      <c r="AN34" s="98">
        <f t="shared" si="27"/>
        <v>400.01379857529713</v>
      </c>
      <c r="AO34" s="98">
        <f t="shared" si="27"/>
        <v>400.01379857529713</v>
      </c>
      <c r="AP34" s="98">
        <f t="shared" si="27"/>
        <v>400.01379857529713</v>
      </c>
      <c r="AQ34" s="116">
        <f t="shared" si="17"/>
        <v>2800.0965900270799</v>
      </c>
      <c r="AR34" s="116">
        <f t="shared" si="18"/>
        <v>115199.90340997292</v>
      </c>
    </row>
    <row r="35" spans="1:44" x14ac:dyDescent="0.2">
      <c r="A35" s="145" t="s">
        <v>1092</v>
      </c>
      <c r="B35" s="537" t="s">
        <v>965</v>
      </c>
      <c r="C35" s="87" t="s">
        <v>961</v>
      </c>
      <c r="D35" s="101">
        <v>25</v>
      </c>
      <c r="E35" s="91">
        <v>0.04</v>
      </c>
      <c r="F35" s="88">
        <v>42185</v>
      </c>
      <c r="G35" s="90">
        <f t="shared" si="0"/>
        <v>300</v>
      </c>
      <c r="H35" s="201">
        <f t="shared" si="1"/>
        <v>0.33333333333333331</v>
      </c>
      <c r="I35" s="233">
        <f t="shared" si="22"/>
        <v>1.6666666666666665</v>
      </c>
      <c r="J35" s="90">
        <f t="shared" si="23"/>
        <v>5</v>
      </c>
      <c r="K35" s="233">
        <f t="shared" si="4"/>
        <v>98.333333333333329</v>
      </c>
      <c r="L35" s="90">
        <f t="shared" si="5"/>
        <v>295</v>
      </c>
      <c r="M35" s="233">
        <f t="shared" si="6"/>
        <v>2.333333333333333</v>
      </c>
      <c r="N35" s="90">
        <v>7</v>
      </c>
      <c r="O35" s="233">
        <f t="shared" si="7"/>
        <v>96</v>
      </c>
      <c r="P35" s="90">
        <f t="shared" si="8"/>
        <v>288</v>
      </c>
      <c r="Q35" s="88">
        <v>51136</v>
      </c>
      <c r="R35" s="88" t="s">
        <v>1093</v>
      </c>
      <c r="S35" s="88">
        <v>42005</v>
      </c>
      <c r="T35" s="89">
        <v>134379</v>
      </c>
      <c r="U35" s="89">
        <f t="shared" si="9"/>
        <v>2239.65</v>
      </c>
      <c r="V35" s="152">
        <f t="shared" si="19"/>
        <v>134379</v>
      </c>
      <c r="W35" s="233">
        <f t="shared" si="24"/>
        <v>447.92999999999995</v>
      </c>
      <c r="X35" s="474">
        <f t="shared" ref="X35:X46" si="28">W35*5</f>
        <v>2239.6499999999996</v>
      </c>
      <c r="Y35" s="125">
        <f t="shared" si="12"/>
        <v>132139.35</v>
      </c>
      <c r="Z35" s="100">
        <v>115.958</v>
      </c>
      <c r="AA35" s="472">
        <v>115.95399999999999</v>
      </c>
      <c r="AB35" s="98">
        <f t="shared" si="26"/>
        <v>1.0000344964382428</v>
      </c>
      <c r="AC35" s="98">
        <f t="shared" si="14"/>
        <v>447.93</v>
      </c>
      <c r="AD35" s="98">
        <f t="shared" si="15"/>
        <v>447.94545198958212</v>
      </c>
      <c r="AE35" s="98"/>
      <c r="AF35" s="98"/>
      <c r="AG35" s="98"/>
      <c r="AH35" s="98"/>
      <c r="AI35" s="98"/>
      <c r="AJ35" s="98">
        <f t="shared" si="21"/>
        <v>447.94545198958212</v>
      </c>
      <c r="AK35" s="98">
        <f t="shared" si="21"/>
        <v>447.94545198958212</v>
      </c>
      <c r="AL35" s="98">
        <f t="shared" si="27"/>
        <v>447.94545198958212</v>
      </c>
      <c r="AM35" s="98">
        <f t="shared" si="27"/>
        <v>447.94545198958212</v>
      </c>
      <c r="AN35" s="98">
        <f t="shared" si="27"/>
        <v>447.94545198958212</v>
      </c>
      <c r="AO35" s="98">
        <f t="shared" si="27"/>
        <v>447.94545198958212</v>
      </c>
      <c r="AP35" s="98">
        <f t="shared" si="27"/>
        <v>447.94545198958212</v>
      </c>
      <c r="AQ35" s="116">
        <f t="shared" si="17"/>
        <v>3135.6181639270749</v>
      </c>
      <c r="AR35" s="116">
        <f t="shared" si="18"/>
        <v>129003.73183607293</v>
      </c>
    </row>
    <row r="36" spans="1:44" x14ac:dyDescent="0.2">
      <c r="A36" s="145" t="s">
        <v>1097</v>
      </c>
      <c r="B36" s="537" t="s">
        <v>964</v>
      </c>
      <c r="C36" s="87" t="s">
        <v>961</v>
      </c>
      <c r="D36" s="101">
        <v>25</v>
      </c>
      <c r="E36" s="91">
        <v>0.04</v>
      </c>
      <c r="F36" s="88">
        <v>42185</v>
      </c>
      <c r="G36" s="90">
        <f t="shared" si="0"/>
        <v>300</v>
      </c>
      <c r="H36" s="201">
        <f t="shared" si="1"/>
        <v>0.33333333333333331</v>
      </c>
      <c r="I36" s="233">
        <f t="shared" si="22"/>
        <v>1.6666666666666665</v>
      </c>
      <c r="J36" s="90">
        <f t="shared" si="23"/>
        <v>5</v>
      </c>
      <c r="K36" s="233">
        <f t="shared" si="4"/>
        <v>98.333333333333329</v>
      </c>
      <c r="L36" s="90">
        <f t="shared" si="5"/>
        <v>295</v>
      </c>
      <c r="M36" s="233">
        <f t="shared" si="6"/>
        <v>2.333333333333333</v>
      </c>
      <c r="N36" s="90">
        <v>7</v>
      </c>
      <c r="O36" s="233">
        <f t="shared" si="7"/>
        <v>96</v>
      </c>
      <c r="P36" s="90">
        <f t="shared" si="8"/>
        <v>288</v>
      </c>
      <c r="Q36" s="88">
        <v>51136</v>
      </c>
      <c r="R36" s="88" t="s">
        <v>1098</v>
      </c>
      <c r="S36" s="88">
        <v>42005</v>
      </c>
      <c r="T36" s="89">
        <v>80318.7</v>
      </c>
      <c r="U36" s="89">
        <f t="shared" si="9"/>
        <v>1338.645</v>
      </c>
      <c r="V36" s="152">
        <f t="shared" si="19"/>
        <v>80318.7</v>
      </c>
      <c r="W36" s="233">
        <f t="shared" si="24"/>
        <v>267.72899999999998</v>
      </c>
      <c r="X36" s="474">
        <f t="shared" si="28"/>
        <v>1338.645</v>
      </c>
      <c r="Y36" s="125">
        <f t="shared" ref="Y36:Y46" si="29">V36-X36</f>
        <v>78980.054999999993</v>
      </c>
      <c r="Z36" s="100">
        <v>115.958</v>
      </c>
      <c r="AA36" s="472">
        <v>115.95399999999999</v>
      </c>
      <c r="AB36" s="98">
        <f t="shared" si="26"/>
        <v>1.0000344964382428</v>
      </c>
      <c r="AC36" s="98">
        <f t="shared" si="14"/>
        <v>267.72899999999998</v>
      </c>
      <c r="AD36" s="98">
        <f t="shared" si="15"/>
        <v>267.73823569691427</v>
      </c>
      <c r="AE36" s="98"/>
      <c r="AF36" s="98"/>
      <c r="AG36" s="98"/>
      <c r="AH36" s="98"/>
      <c r="AI36" s="98"/>
      <c r="AJ36" s="98">
        <f t="shared" si="21"/>
        <v>267.73823569691427</v>
      </c>
      <c r="AK36" s="98">
        <f t="shared" si="21"/>
        <v>267.73823569691427</v>
      </c>
      <c r="AL36" s="98">
        <f t="shared" si="27"/>
        <v>267.73823569691427</v>
      </c>
      <c r="AM36" s="98">
        <f t="shared" si="27"/>
        <v>267.73823569691427</v>
      </c>
      <c r="AN36" s="98">
        <f t="shared" si="27"/>
        <v>267.73823569691427</v>
      </c>
      <c r="AO36" s="98">
        <f t="shared" si="27"/>
        <v>267.73823569691427</v>
      </c>
      <c r="AP36" s="98">
        <f t="shared" si="27"/>
        <v>267.73823569691427</v>
      </c>
      <c r="AQ36" s="116">
        <f t="shared" si="17"/>
        <v>1874.1676498783997</v>
      </c>
      <c r="AR36" s="116">
        <f t="shared" si="18"/>
        <v>77105.8873501216</v>
      </c>
    </row>
    <row r="37" spans="1:44" ht="14.25" customHeight="1" x14ac:dyDescent="0.2">
      <c r="A37" s="145" t="s">
        <v>1087</v>
      </c>
      <c r="B37" s="537" t="s">
        <v>955</v>
      </c>
      <c r="C37" s="87" t="s">
        <v>961</v>
      </c>
      <c r="D37" s="101">
        <v>25</v>
      </c>
      <c r="E37" s="91">
        <v>0.04</v>
      </c>
      <c r="F37" s="88">
        <v>42185</v>
      </c>
      <c r="G37" s="90">
        <v>300</v>
      </c>
      <c r="H37" s="201">
        <v>0.33333333333333331</v>
      </c>
      <c r="I37" s="233">
        <v>1.6666666666666665</v>
      </c>
      <c r="J37" s="90">
        <v>5</v>
      </c>
      <c r="K37" s="233">
        <v>98.333333333333329</v>
      </c>
      <c r="L37" s="90">
        <v>295</v>
      </c>
      <c r="M37" s="233">
        <v>2.333333333333333</v>
      </c>
      <c r="N37" s="90">
        <v>7</v>
      </c>
      <c r="O37" s="233">
        <v>96</v>
      </c>
      <c r="P37" s="90">
        <v>288</v>
      </c>
      <c r="Q37" s="88">
        <v>51136</v>
      </c>
      <c r="R37" s="88" t="s">
        <v>1088</v>
      </c>
      <c r="S37" s="88">
        <v>42005</v>
      </c>
      <c r="T37" s="89">
        <v>149625</v>
      </c>
      <c r="U37" s="89">
        <f t="shared" si="9"/>
        <v>2493.75</v>
      </c>
      <c r="V37" s="152">
        <v>149625</v>
      </c>
      <c r="W37" s="233">
        <f t="shared" si="24"/>
        <v>498.74999999999994</v>
      </c>
      <c r="X37" s="474">
        <f t="shared" si="28"/>
        <v>2493.7499999999995</v>
      </c>
      <c r="Y37" s="125">
        <f t="shared" si="29"/>
        <v>147131.25</v>
      </c>
      <c r="Z37" s="100">
        <v>115.958</v>
      </c>
      <c r="AA37" s="472">
        <v>115.95399999999999</v>
      </c>
      <c r="AB37" s="98">
        <v>1.0000344964382428</v>
      </c>
      <c r="AC37" s="98">
        <v>498.74999999999994</v>
      </c>
      <c r="AD37" s="98">
        <v>498.76720509857353</v>
      </c>
      <c r="AE37" s="98"/>
      <c r="AF37" s="98"/>
      <c r="AG37" s="98"/>
      <c r="AH37" s="98"/>
      <c r="AI37" s="98"/>
      <c r="AJ37" s="98">
        <v>498.76720509857353</v>
      </c>
      <c r="AK37" s="98">
        <v>498.76720509857353</v>
      </c>
      <c r="AL37" s="98">
        <v>498.76720509857353</v>
      </c>
      <c r="AM37" s="98">
        <v>498.76720509857353</v>
      </c>
      <c r="AN37" s="98">
        <v>498.76720509857353</v>
      </c>
      <c r="AO37" s="98">
        <v>498.76720509857353</v>
      </c>
      <c r="AP37" s="98">
        <v>498.76720509857353</v>
      </c>
      <c r="AQ37" s="116">
        <v>2992.6032305914409</v>
      </c>
      <c r="AR37" s="116">
        <f t="shared" si="18"/>
        <v>144138.64676940857</v>
      </c>
    </row>
    <row r="38" spans="1:44" ht="22.5" x14ac:dyDescent="0.2">
      <c r="A38" s="145" t="s">
        <v>1095</v>
      </c>
      <c r="B38" s="537" t="s">
        <v>951</v>
      </c>
      <c r="C38" s="87" t="s">
        <v>961</v>
      </c>
      <c r="D38" s="101">
        <v>25</v>
      </c>
      <c r="E38" s="91">
        <v>0.04</v>
      </c>
      <c r="F38" s="88">
        <v>42185</v>
      </c>
      <c r="G38" s="90">
        <v>300</v>
      </c>
      <c r="H38" s="201">
        <v>0.33333333333333331</v>
      </c>
      <c r="I38" s="233">
        <v>1.6666666666666665</v>
      </c>
      <c r="J38" s="90">
        <v>5</v>
      </c>
      <c r="K38" s="233">
        <v>98.333333333333329</v>
      </c>
      <c r="L38" s="90">
        <v>295</v>
      </c>
      <c r="M38" s="233">
        <v>2.333333333333333</v>
      </c>
      <c r="N38" s="90">
        <v>7</v>
      </c>
      <c r="O38" s="233">
        <v>96</v>
      </c>
      <c r="P38" s="90">
        <v>288</v>
      </c>
      <c r="Q38" s="88">
        <v>51136</v>
      </c>
      <c r="R38" s="530" t="s">
        <v>1096</v>
      </c>
      <c r="S38" s="88">
        <v>42005</v>
      </c>
      <c r="T38" s="89">
        <v>72151.42</v>
      </c>
      <c r="U38" s="89">
        <f t="shared" si="9"/>
        <v>1202.5236666666667</v>
      </c>
      <c r="V38" s="152">
        <v>72151.42</v>
      </c>
      <c r="W38" s="233">
        <f t="shared" si="24"/>
        <v>240.50473333333332</v>
      </c>
      <c r="X38" s="474">
        <f t="shared" si="28"/>
        <v>1202.5236666666665</v>
      </c>
      <c r="Y38" s="125">
        <f t="shared" si="29"/>
        <v>70948.896333333338</v>
      </c>
      <c r="Z38" s="100">
        <v>115.958</v>
      </c>
      <c r="AA38" s="472">
        <v>115.95399999999999</v>
      </c>
      <c r="AB38" s="98">
        <v>1.0000344964382428</v>
      </c>
      <c r="AC38" s="98">
        <v>189.89806666666664</v>
      </c>
      <c r="AD38" s="98">
        <v>189.90461747359583</v>
      </c>
      <c r="AE38" s="98"/>
      <c r="AF38" s="98"/>
      <c r="AG38" s="98"/>
      <c r="AH38" s="98"/>
      <c r="AI38" s="98"/>
      <c r="AJ38" s="98">
        <v>189.90461747359583</v>
      </c>
      <c r="AK38" s="98">
        <v>189.90461747359583</v>
      </c>
      <c r="AL38" s="98">
        <v>189.90461747359583</v>
      </c>
      <c r="AM38" s="98">
        <v>189.90461747359583</v>
      </c>
      <c r="AN38" s="98">
        <v>189.90461747359583</v>
      </c>
      <c r="AO38" s="98">
        <v>189.90461747359583</v>
      </c>
      <c r="AP38" s="98">
        <v>189.90461747359583</v>
      </c>
      <c r="AQ38" s="116">
        <v>1139.427704841575</v>
      </c>
      <c r="AR38" s="116">
        <f t="shared" si="18"/>
        <v>69809.46862849177</v>
      </c>
    </row>
    <row r="39" spans="1:44" x14ac:dyDescent="0.2">
      <c r="A39" s="145" t="s">
        <v>1090</v>
      </c>
      <c r="B39" s="537" t="s">
        <v>952</v>
      </c>
      <c r="C39" s="87" t="s">
        <v>961</v>
      </c>
      <c r="D39" s="101">
        <v>25</v>
      </c>
      <c r="E39" s="91">
        <v>0.04</v>
      </c>
      <c r="F39" s="88">
        <v>42185</v>
      </c>
      <c r="G39" s="90">
        <v>300</v>
      </c>
      <c r="H39" s="201">
        <v>0.33333333333333331</v>
      </c>
      <c r="I39" s="233">
        <v>1.6666666666666665</v>
      </c>
      <c r="J39" s="90">
        <v>5</v>
      </c>
      <c r="K39" s="233">
        <v>98.333333333333329</v>
      </c>
      <c r="L39" s="90">
        <v>295</v>
      </c>
      <c r="M39" s="233">
        <v>2.333333333333333</v>
      </c>
      <c r="N39" s="90">
        <v>7</v>
      </c>
      <c r="O39" s="233">
        <v>96</v>
      </c>
      <c r="P39" s="90">
        <v>288</v>
      </c>
      <c r="Q39" s="88">
        <v>51136</v>
      </c>
      <c r="R39" s="88" t="s">
        <v>1091</v>
      </c>
      <c r="S39" s="88">
        <v>42005</v>
      </c>
      <c r="T39" s="89">
        <v>100000</v>
      </c>
      <c r="U39" s="89">
        <f t="shared" si="9"/>
        <v>1666.6666666666667</v>
      </c>
      <c r="V39" s="152">
        <v>100000</v>
      </c>
      <c r="W39" s="233">
        <f t="shared" si="24"/>
        <v>333.33333333333331</v>
      </c>
      <c r="X39" s="474">
        <f t="shared" si="28"/>
        <v>1666.6666666666665</v>
      </c>
      <c r="Y39" s="125">
        <f t="shared" si="29"/>
        <v>98333.333333333328</v>
      </c>
      <c r="Z39" s="100">
        <v>115.958</v>
      </c>
      <c r="AA39" s="472">
        <v>115.95399999999999</v>
      </c>
      <c r="AB39" s="98">
        <v>1.0000344964382428</v>
      </c>
      <c r="AC39" s="98">
        <v>333.33333333333331</v>
      </c>
      <c r="AD39" s="98">
        <v>333.34483214608093</v>
      </c>
      <c r="AE39" s="98"/>
      <c r="AF39" s="98"/>
      <c r="AG39" s="98"/>
      <c r="AH39" s="98"/>
      <c r="AI39" s="98"/>
      <c r="AJ39" s="98">
        <v>333.34483214608093</v>
      </c>
      <c r="AK39" s="98">
        <v>333.34483214608093</v>
      </c>
      <c r="AL39" s="98">
        <v>333.34483214608093</v>
      </c>
      <c r="AM39" s="98">
        <v>333.34483214608093</v>
      </c>
      <c r="AN39" s="98">
        <v>333.34483214608093</v>
      </c>
      <c r="AO39" s="98">
        <v>333.34483214608093</v>
      </c>
      <c r="AP39" s="98">
        <v>333.34483214608093</v>
      </c>
      <c r="AQ39" s="116">
        <v>2000.0689928764857</v>
      </c>
      <c r="AR39" s="116">
        <f t="shared" si="18"/>
        <v>96333.264340456837</v>
      </c>
    </row>
    <row r="40" spans="1:44" x14ac:dyDescent="0.2">
      <c r="A40" s="145" t="s">
        <v>1101</v>
      </c>
      <c r="B40" s="537" t="s">
        <v>1099</v>
      </c>
      <c r="C40" s="87" t="s">
        <v>961</v>
      </c>
      <c r="D40" s="101">
        <v>25</v>
      </c>
      <c r="E40" s="91">
        <v>0.04</v>
      </c>
      <c r="F40" s="88">
        <v>42185</v>
      </c>
      <c r="G40" s="90">
        <f t="shared" ref="G40:G46" si="30">D40*12</f>
        <v>300</v>
      </c>
      <c r="H40" s="201">
        <f t="shared" ref="H40:H46" si="31">100/G40</f>
        <v>0.33333333333333331</v>
      </c>
      <c r="I40" s="233">
        <f t="shared" ref="I40:I46" si="32">H40*J40</f>
        <v>1.6666666666666665</v>
      </c>
      <c r="J40" s="90">
        <f t="shared" ref="J40:J46" si="33">(YEAR(F40)-YEAR(S40))*12+MONTH(F40)-MONTH(S40)</f>
        <v>5</v>
      </c>
      <c r="K40" s="233">
        <f t="shared" ref="K40:K46" si="34">L40*H40</f>
        <v>98.333333333333329</v>
      </c>
      <c r="L40" s="90">
        <f t="shared" ref="L40:L46" si="35">G40-J40</f>
        <v>295</v>
      </c>
      <c r="M40" s="233">
        <f t="shared" ref="M40:M46" si="36">N40*H40</f>
        <v>2.333333333333333</v>
      </c>
      <c r="N40" s="90">
        <v>7</v>
      </c>
      <c r="O40" s="233">
        <f t="shared" ref="O40:O46" si="37">P40*H40</f>
        <v>96</v>
      </c>
      <c r="P40" s="90">
        <f t="shared" ref="P40:P46" si="38">L40-N40</f>
        <v>288</v>
      </c>
      <c r="Q40" s="88">
        <v>51136</v>
      </c>
      <c r="R40" s="88" t="s">
        <v>1102</v>
      </c>
      <c r="S40" s="88">
        <v>42005</v>
      </c>
      <c r="T40" s="89">
        <v>2292853.5</v>
      </c>
      <c r="U40" s="89">
        <f t="shared" si="9"/>
        <v>38214.224999999999</v>
      </c>
      <c r="V40" s="152">
        <f>T40</f>
        <v>2292853.5</v>
      </c>
      <c r="W40" s="233">
        <f t="shared" si="24"/>
        <v>7642.8449999999993</v>
      </c>
      <c r="X40" s="474">
        <f t="shared" si="28"/>
        <v>38214.224999999999</v>
      </c>
      <c r="Y40" s="125">
        <f t="shared" si="29"/>
        <v>2254639.2749999999</v>
      </c>
      <c r="Z40" s="100">
        <v>115.958</v>
      </c>
      <c r="AA40" s="472">
        <v>115.95399999999999</v>
      </c>
      <c r="AB40" s="98">
        <f t="shared" ref="AB40:AB46" si="39">Z40/AA40</f>
        <v>1.0000344964382428</v>
      </c>
      <c r="AC40" s="98">
        <f t="shared" ref="AC40:AC46" si="40">Y40*M40/100/K40*100/7</f>
        <v>7642.8449999999984</v>
      </c>
      <c r="AD40" s="98">
        <f t="shared" ref="AD40:AD46" si="41">AC40*AB40</f>
        <v>7643.1086509305405</v>
      </c>
      <c r="AE40" s="98"/>
      <c r="AF40" s="98"/>
      <c r="AG40" s="98"/>
      <c r="AH40" s="98"/>
      <c r="AI40" s="98"/>
      <c r="AJ40" s="98">
        <f t="shared" ref="AJ40:AP46" si="42">$AD40</f>
        <v>7643.1086509305405</v>
      </c>
      <c r="AK40" s="98">
        <f t="shared" si="42"/>
        <v>7643.1086509305405</v>
      </c>
      <c r="AL40" s="98">
        <f t="shared" si="42"/>
        <v>7643.1086509305405</v>
      </c>
      <c r="AM40" s="98">
        <f t="shared" si="42"/>
        <v>7643.1086509305405</v>
      </c>
      <c r="AN40" s="98">
        <f t="shared" si="42"/>
        <v>7643.1086509305405</v>
      </c>
      <c r="AO40" s="98">
        <f t="shared" si="42"/>
        <v>7643.1086509305405</v>
      </c>
      <c r="AP40" s="98">
        <f t="shared" si="42"/>
        <v>7643.1086509305405</v>
      </c>
      <c r="AQ40" s="116">
        <f t="shared" ref="AQ40:AQ46" si="43">SUM(AE40:AP40)</f>
        <v>53501.760556513778</v>
      </c>
      <c r="AR40" s="116">
        <f t="shared" si="18"/>
        <v>2201137.514443486</v>
      </c>
    </row>
    <row r="41" spans="1:44" x14ac:dyDescent="0.2">
      <c r="A41" s="145" t="s">
        <v>1103</v>
      </c>
      <c r="B41" s="537" t="s">
        <v>1100</v>
      </c>
      <c r="C41" s="87" t="s">
        <v>961</v>
      </c>
      <c r="D41" s="101">
        <v>25</v>
      </c>
      <c r="E41" s="91">
        <v>0.04</v>
      </c>
      <c r="F41" s="88">
        <v>42185</v>
      </c>
      <c r="G41" s="90">
        <f t="shared" si="30"/>
        <v>300</v>
      </c>
      <c r="H41" s="201">
        <f t="shared" si="31"/>
        <v>0.33333333333333331</v>
      </c>
      <c r="I41" s="233">
        <f t="shared" si="32"/>
        <v>6.333333333333333</v>
      </c>
      <c r="J41" s="90">
        <f t="shared" si="33"/>
        <v>19</v>
      </c>
      <c r="K41" s="233">
        <f t="shared" si="34"/>
        <v>93.666666666666657</v>
      </c>
      <c r="L41" s="90">
        <f t="shared" si="35"/>
        <v>281</v>
      </c>
      <c r="M41" s="233">
        <f t="shared" si="36"/>
        <v>2.333333333333333</v>
      </c>
      <c r="N41" s="90">
        <v>7</v>
      </c>
      <c r="O41" s="233">
        <f t="shared" si="37"/>
        <v>91.333333333333329</v>
      </c>
      <c r="P41" s="90">
        <f t="shared" si="38"/>
        <v>274</v>
      </c>
      <c r="Q41" s="88">
        <v>50737</v>
      </c>
      <c r="R41" s="88" t="s">
        <v>1104</v>
      </c>
      <c r="S41" s="88">
        <v>41606</v>
      </c>
      <c r="T41" s="89">
        <v>566715</v>
      </c>
      <c r="U41" s="89">
        <f t="shared" si="9"/>
        <v>35891.949999999997</v>
      </c>
      <c r="V41" s="152">
        <f>T41-U41</f>
        <v>530823.05000000005</v>
      </c>
      <c r="W41" s="233">
        <f t="shared" si="24"/>
        <v>1889.05</v>
      </c>
      <c r="X41" s="474">
        <f t="shared" si="28"/>
        <v>9445.25</v>
      </c>
      <c r="Y41" s="125">
        <f t="shared" si="29"/>
        <v>521377.80000000005</v>
      </c>
      <c r="Z41" s="100">
        <v>115.958</v>
      </c>
      <c r="AA41" s="472">
        <v>115.95399999999999</v>
      </c>
      <c r="AB41" s="98">
        <f t="shared" si="39"/>
        <v>1.0000344964382428</v>
      </c>
      <c r="AC41" s="98">
        <f t="shared" si="40"/>
        <v>1855.4370106761569</v>
      </c>
      <c r="AD41" s="98">
        <f t="shared" si="41"/>
        <v>1855.5010166444092</v>
      </c>
      <c r="AE41" s="98"/>
      <c r="AF41" s="98"/>
      <c r="AG41" s="98"/>
      <c r="AH41" s="98"/>
      <c r="AI41" s="98"/>
      <c r="AJ41" s="98">
        <f t="shared" si="42"/>
        <v>1855.5010166444092</v>
      </c>
      <c r="AK41" s="98">
        <f t="shared" si="42"/>
        <v>1855.5010166444092</v>
      </c>
      <c r="AL41" s="98">
        <f t="shared" si="42"/>
        <v>1855.5010166444092</v>
      </c>
      <c r="AM41" s="98">
        <f t="shared" si="42"/>
        <v>1855.5010166444092</v>
      </c>
      <c r="AN41" s="98">
        <f t="shared" si="42"/>
        <v>1855.5010166444092</v>
      </c>
      <c r="AO41" s="98">
        <f t="shared" si="42"/>
        <v>1855.5010166444092</v>
      </c>
      <c r="AP41" s="98">
        <f t="shared" si="42"/>
        <v>1855.5010166444092</v>
      </c>
      <c r="AQ41" s="116">
        <f t="shared" si="43"/>
        <v>12988.507116510866</v>
      </c>
      <c r="AR41" s="116">
        <f t="shared" si="18"/>
        <v>508389.29288348916</v>
      </c>
    </row>
    <row r="42" spans="1:44" ht="33.75" x14ac:dyDescent="0.2">
      <c r="A42" s="145" t="s">
        <v>1106</v>
      </c>
      <c r="B42" s="537" t="s">
        <v>1105</v>
      </c>
      <c r="C42" s="87" t="s">
        <v>961</v>
      </c>
      <c r="D42" s="101">
        <v>25</v>
      </c>
      <c r="E42" s="91">
        <v>0.04</v>
      </c>
      <c r="F42" s="88">
        <v>42185</v>
      </c>
      <c r="G42" s="90">
        <f t="shared" si="30"/>
        <v>300</v>
      </c>
      <c r="H42" s="201">
        <f t="shared" si="31"/>
        <v>0.33333333333333331</v>
      </c>
      <c r="I42" s="233">
        <f t="shared" si="32"/>
        <v>1.6666666666666665</v>
      </c>
      <c r="J42" s="90">
        <f t="shared" si="33"/>
        <v>5</v>
      </c>
      <c r="K42" s="233">
        <f t="shared" si="34"/>
        <v>98.333333333333329</v>
      </c>
      <c r="L42" s="90">
        <f t="shared" si="35"/>
        <v>295</v>
      </c>
      <c r="M42" s="233">
        <f t="shared" si="36"/>
        <v>2.333333333333333</v>
      </c>
      <c r="N42" s="90">
        <v>7</v>
      </c>
      <c r="O42" s="233">
        <f t="shared" si="37"/>
        <v>96</v>
      </c>
      <c r="P42" s="90">
        <f t="shared" si="38"/>
        <v>288</v>
      </c>
      <c r="Q42" s="88">
        <v>51136</v>
      </c>
      <c r="R42" s="530" t="s">
        <v>1107</v>
      </c>
      <c r="S42" s="88">
        <v>42005</v>
      </c>
      <c r="T42" s="89">
        <f>492444.23+309874.95+17421.08+10999.8+25143.3+141491.7</f>
        <v>997375.06</v>
      </c>
      <c r="U42" s="89">
        <f t="shared" si="9"/>
        <v>16622.917666666668</v>
      </c>
      <c r="V42" s="152">
        <f>T42</f>
        <v>997375.06</v>
      </c>
      <c r="W42" s="233">
        <f t="shared" si="24"/>
        <v>3324.5835333333334</v>
      </c>
      <c r="X42" s="474">
        <f t="shared" si="28"/>
        <v>16622.917666666668</v>
      </c>
      <c r="Y42" s="125">
        <f t="shared" si="29"/>
        <v>980752.14233333338</v>
      </c>
      <c r="Z42" s="100">
        <v>115.958</v>
      </c>
      <c r="AA42" s="472">
        <v>115.95399999999999</v>
      </c>
      <c r="AB42" s="98">
        <f t="shared" si="39"/>
        <v>1.0000344964382428</v>
      </c>
      <c r="AC42" s="98">
        <f t="shared" si="40"/>
        <v>3324.5835333333339</v>
      </c>
      <c r="AD42" s="98">
        <f t="shared" si="41"/>
        <v>3324.6982196238746</v>
      </c>
      <c r="AE42" s="98"/>
      <c r="AF42" s="98"/>
      <c r="AG42" s="98"/>
      <c r="AH42" s="98"/>
      <c r="AI42" s="98"/>
      <c r="AJ42" s="98">
        <f t="shared" si="42"/>
        <v>3324.6982196238746</v>
      </c>
      <c r="AK42" s="98">
        <f t="shared" si="42"/>
        <v>3324.6982196238746</v>
      </c>
      <c r="AL42" s="98">
        <f t="shared" si="42"/>
        <v>3324.6982196238746</v>
      </c>
      <c r="AM42" s="98">
        <f t="shared" si="42"/>
        <v>3324.6982196238746</v>
      </c>
      <c r="AN42" s="98">
        <f t="shared" si="42"/>
        <v>3324.6982196238746</v>
      </c>
      <c r="AO42" s="98">
        <f t="shared" si="42"/>
        <v>3324.6982196238746</v>
      </c>
      <c r="AP42" s="98">
        <f t="shared" si="42"/>
        <v>3324.6982196238746</v>
      </c>
      <c r="AQ42" s="116">
        <f t="shared" si="43"/>
        <v>23272.887537367122</v>
      </c>
      <c r="AR42" s="116">
        <f t="shared" si="18"/>
        <v>957479.2547959662</v>
      </c>
    </row>
    <row r="43" spans="1:44" x14ac:dyDescent="0.2">
      <c r="A43" s="145" t="s">
        <v>1111</v>
      </c>
      <c r="B43" s="537" t="s">
        <v>959</v>
      </c>
      <c r="C43" s="87" t="s">
        <v>961</v>
      </c>
      <c r="D43" s="101">
        <v>25</v>
      </c>
      <c r="E43" s="91">
        <v>0.04</v>
      </c>
      <c r="F43" s="88">
        <v>42185</v>
      </c>
      <c r="G43" s="90">
        <f t="shared" si="30"/>
        <v>300</v>
      </c>
      <c r="H43" s="201">
        <f t="shared" si="31"/>
        <v>0.33333333333333331</v>
      </c>
      <c r="I43" s="233">
        <f t="shared" si="32"/>
        <v>1.6666666666666665</v>
      </c>
      <c r="J43" s="90">
        <f t="shared" si="33"/>
        <v>5</v>
      </c>
      <c r="K43" s="233">
        <f t="shared" si="34"/>
        <v>98.333333333333329</v>
      </c>
      <c r="L43" s="90">
        <f t="shared" si="35"/>
        <v>295</v>
      </c>
      <c r="M43" s="233">
        <f t="shared" si="36"/>
        <v>2.333333333333333</v>
      </c>
      <c r="N43" s="90">
        <v>7</v>
      </c>
      <c r="O43" s="233">
        <f t="shared" si="37"/>
        <v>96</v>
      </c>
      <c r="P43" s="90">
        <f t="shared" si="38"/>
        <v>288</v>
      </c>
      <c r="Q43" s="88">
        <v>51136</v>
      </c>
      <c r="R43" s="88" t="s">
        <v>1112</v>
      </c>
      <c r="S43" s="88">
        <v>42005</v>
      </c>
      <c r="T43" s="89">
        <v>510500</v>
      </c>
      <c r="U43" s="89">
        <f t="shared" si="9"/>
        <v>8508.3333333333339</v>
      </c>
      <c r="V43" s="152">
        <f>T43</f>
        <v>510500</v>
      </c>
      <c r="W43" s="233">
        <f t="shared" si="24"/>
        <v>1701.6666666666665</v>
      </c>
      <c r="X43" s="474">
        <f t="shared" si="28"/>
        <v>8508.3333333333321</v>
      </c>
      <c r="Y43" s="125">
        <f t="shared" si="29"/>
        <v>501991.66666666669</v>
      </c>
      <c r="Z43" s="100">
        <v>115.958</v>
      </c>
      <c r="AA43" s="472">
        <v>115.95399999999999</v>
      </c>
      <c r="AB43" s="98">
        <f t="shared" si="39"/>
        <v>1.0000344964382428</v>
      </c>
      <c r="AC43" s="98">
        <f t="shared" si="40"/>
        <v>1701.6666666666663</v>
      </c>
      <c r="AD43" s="98">
        <f t="shared" si="41"/>
        <v>1701.7253681057427</v>
      </c>
      <c r="AE43" s="98"/>
      <c r="AF43" s="98"/>
      <c r="AG43" s="98"/>
      <c r="AH43" s="98"/>
      <c r="AI43" s="98"/>
      <c r="AJ43" s="98">
        <f t="shared" si="42"/>
        <v>1701.7253681057427</v>
      </c>
      <c r="AK43" s="98">
        <f t="shared" si="42"/>
        <v>1701.7253681057427</v>
      </c>
      <c r="AL43" s="98">
        <f t="shared" si="42"/>
        <v>1701.7253681057427</v>
      </c>
      <c r="AM43" s="98">
        <f t="shared" si="42"/>
        <v>1701.7253681057427</v>
      </c>
      <c r="AN43" s="98">
        <f t="shared" si="42"/>
        <v>1701.7253681057427</v>
      </c>
      <c r="AO43" s="98">
        <f t="shared" si="42"/>
        <v>1701.7253681057427</v>
      </c>
      <c r="AP43" s="98">
        <f t="shared" si="42"/>
        <v>1701.7253681057427</v>
      </c>
      <c r="AQ43" s="116">
        <f t="shared" si="43"/>
        <v>11912.077576740199</v>
      </c>
      <c r="AR43" s="116">
        <f t="shared" si="18"/>
        <v>490079.58908992651</v>
      </c>
    </row>
    <row r="44" spans="1:44" x14ac:dyDescent="0.2">
      <c r="A44" s="145" t="s">
        <v>1113</v>
      </c>
      <c r="B44" s="537" t="s">
        <v>958</v>
      </c>
      <c r="C44" s="87" t="s">
        <v>961</v>
      </c>
      <c r="D44" s="101">
        <v>25</v>
      </c>
      <c r="E44" s="91">
        <v>0.04</v>
      </c>
      <c r="F44" s="88">
        <v>42185</v>
      </c>
      <c r="G44" s="90">
        <f t="shared" si="30"/>
        <v>300</v>
      </c>
      <c r="H44" s="201">
        <f t="shared" si="31"/>
        <v>0.33333333333333331</v>
      </c>
      <c r="I44" s="233">
        <f t="shared" si="32"/>
        <v>1.6666666666666665</v>
      </c>
      <c r="J44" s="90">
        <f t="shared" si="33"/>
        <v>5</v>
      </c>
      <c r="K44" s="233">
        <f t="shared" si="34"/>
        <v>98.333333333333329</v>
      </c>
      <c r="L44" s="90">
        <f t="shared" si="35"/>
        <v>295</v>
      </c>
      <c r="M44" s="233">
        <f t="shared" si="36"/>
        <v>2.333333333333333</v>
      </c>
      <c r="N44" s="90">
        <v>7</v>
      </c>
      <c r="O44" s="233">
        <f t="shared" si="37"/>
        <v>96</v>
      </c>
      <c r="P44" s="90">
        <f t="shared" si="38"/>
        <v>288</v>
      </c>
      <c r="Q44" s="88">
        <v>51136</v>
      </c>
      <c r="R44" s="88" t="s">
        <v>1114</v>
      </c>
      <c r="S44" s="88">
        <v>42005</v>
      </c>
      <c r="T44" s="89">
        <v>86112</v>
      </c>
      <c r="U44" s="89">
        <f t="shared" si="9"/>
        <v>1435.2</v>
      </c>
      <c r="V44" s="152">
        <f>T44</f>
        <v>86112</v>
      </c>
      <c r="W44" s="233">
        <f t="shared" si="24"/>
        <v>287.03999999999996</v>
      </c>
      <c r="X44" s="474">
        <f t="shared" si="28"/>
        <v>1435.1999999999998</v>
      </c>
      <c r="Y44" s="125">
        <f t="shared" si="29"/>
        <v>84676.800000000003</v>
      </c>
      <c r="Z44" s="100">
        <v>115.958</v>
      </c>
      <c r="AA44" s="472">
        <v>115.95399999999999</v>
      </c>
      <c r="AB44" s="98">
        <f t="shared" si="39"/>
        <v>1.0000344964382428</v>
      </c>
      <c r="AC44" s="98">
        <f t="shared" si="40"/>
        <v>287.04000000000002</v>
      </c>
      <c r="AD44" s="98">
        <f t="shared" si="41"/>
        <v>287.04990185763324</v>
      </c>
      <c r="AE44" s="98"/>
      <c r="AF44" s="98"/>
      <c r="AG44" s="98"/>
      <c r="AH44" s="98"/>
      <c r="AI44" s="98"/>
      <c r="AJ44" s="98">
        <f t="shared" si="42"/>
        <v>287.04990185763324</v>
      </c>
      <c r="AK44" s="98">
        <f t="shared" si="42"/>
        <v>287.04990185763324</v>
      </c>
      <c r="AL44" s="98">
        <f t="shared" si="42"/>
        <v>287.04990185763324</v>
      </c>
      <c r="AM44" s="98">
        <f t="shared" si="42"/>
        <v>287.04990185763324</v>
      </c>
      <c r="AN44" s="98">
        <f t="shared" si="42"/>
        <v>287.04990185763324</v>
      </c>
      <c r="AO44" s="98">
        <f t="shared" si="42"/>
        <v>287.04990185763324</v>
      </c>
      <c r="AP44" s="98">
        <f t="shared" si="42"/>
        <v>287.04990185763324</v>
      </c>
      <c r="AQ44" s="116">
        <f t="shared" si="43"/>
        <v>2009.3493130034331</v>
      </c>
      <c r="AR44" s="116">
        <f t="shared" si="18"/>
        <v>82667.45068699657</v>
      </c>
    </row>
    <row r="45" spans="1:44" x14ac:dyDescent="0.2">
      <c r="A45" s="145" t="s">
        <v>1118</v>
      </c>
      <c r="B45" s="537" t="s">
        <v>1117</v>
      </c>
      <c r="C45" s="87" t="s">
        <v>961</v>
      </c>
      <c r="D45" s="101">
        <v>25</v>
      </c>
      <c r="E45" s="91">
        <v>0.04</v>
      </c>
      <c r="F45" s="88">
        <v>42185</v>
      </c>
      <c r="G45" s="90">
        <f t="shared" si="30"/>
        <v>300</v>
      </c>
      <c r="H45" s="201">
        <f t="shared" si="31"/>
        <v>0.33333333333333331</v>
      </c>
      <c r="I45" s="233">
        <f t="shared" si="32"/>
        <v>1.6666666666666665</v>
      </c>
      <c r="J45" s="90">
        <f t="shared" si="33"/>
        <v>5</v>
      </c>
      <c r="K45" s="233">
        <f t="shared" si="34"/>
        <v>98.333333333333329</v>
      </c>
      <c r="L45" s="90">
        <f t="shared" si="35"/>
        <v>295</v>
      </c>
      <c r="M45" s="233">
        <f t="shared" si="36"/>
        <v>2.333333333333333</v>
      </c>
      <c r="N45" s="90">
        <v>7</v>
      </c>
      <c r="O45" s="233">
        <f t="shared" si="37"/>
        <v>96</v>
      </c>
      <c r="P45" s="90">
        <f t="shared" si="38"/>
        <v>288</v>
      </c>
      <c r="Q45" s="88">
        <v>51136</v>
      </c>
      <c r="R45" s="88" t="s">
        <v>1119</v>
      </c>
      <c r="S45" s="88">
        <v>42005</v>
      </c>
      <c r="T45" s="89">
        <v>41006</v>
      </c>
      <c r="U45" s="89">
        <f t="shared" si="9"/>
        <v>683.43333333333328</v>
      </c>
      <c r="V45" s="152">
        <f>T45</f>
        <v>41006</v>
      </c>
      <c r="W45" s="233">
        <f t="shared" si="24"/>
        <v>136.68666666666667</v>
      </c>
      <c r="X45" s="474">
        <f t="shared" si="28"/>
        <v>683.43333333333339</v>
      </c>
      <c r="Y45" s="125">
        <f t="shared" si="29"/>
        <v>40322.566666666666</v>
      </c>
      <c r="Z45" s="100">
        <v>115.958</v>
      </c>
      <c r="AA45" s="472">
        <v>115.95399999999999</v>
      </c>
      <c r="AB45" s="98">
        <f t="shared" si="39"/>
        <v>1.0000344964382428</v>
      </c>
      <c r="AC45" s="98">
        <f t="shared" si="40"/>
        <v>136.68666666666667</v>
      </c>
      <c r="AD45" s="98">
        <f t="shared" si="41"/>
        <v>136.69138186982195</v>
      </c>
      <c r="AE45" s="98"/>
      <c r="AF45" s="98"/>
      <c r="AG45" s="98"/>
      <c r="AH45" s="98"/>
      <c r="AI45" s="98"/>
      <c r="AJ45" s="98">
        <f t="shared" si="42"/>
        <v>136.69138186982195</v>
      </c>
      <c r="AK45" s="98">
        <f t="shared" si="42"/>
        <v>136.69138186982195</v>
      </c>
      <c r="AL45" s="98">
        <f t="shared" si="42"/>
        <v>136.69138186982195</v>
      </c>
      <c r="AM45" s="98">
        <f t="shared" si="42"/>
        <v>136.69138186982195</v>
      </c>
      <c r="AN45" s="98">
        <f t="shared" si="42"/>
        <v>136.69138186982195</v>
      </c>
      <c r="AO45" s="98">
        <f t="shared" si="42"/>
        <v>136.69138186982195</v>
      </c>
      <c r="AP45" s="98">
        <f t="shared" si="42"/>
        <v>136.69138186982195</v>
      </c>
      <c r="AQ45" s="116">
        <f t="shared" si="43"/>
        <v>956.83967308875367</v>
      </c>
      <c r="AR45" s="116">
        <f t="shared" si="18"/>
        <v>39365.726993577911</v>
      </c>
    </row>
    <row r="46" spans="1:44" x14ac:dyDescent="0.2">
      <c r="A46" s="145" t="s">
        <v>1120</v>
      </c>
      <c r="B46" s="537" t="s">
        <v>956</v>
      </c>
      <c r="C46" s="87" t="s">
        <v>961</v>
      </c>
      <c r="D46" s="101">
        <v>25</v>
      </c>
      <c r="E46" s="91">
        <v>0.04</v>
      </c>
      <c r="F46" s="88">
        <v>42185</v>
      </c>
      <c r="G46" s="90">
        <f t="shared" si="30"/>
        <v>300</v>
      </c>
      <c r="H46" s="201">
        <f t="shared" si="31"/>
        <v>0.33333333333333331</v>
      </c>
      <c r="I46" s="233">
        <f t="shared" si="32"/>
        <v>1.6666666666666665</v>
      </c>
      <c r="J46" s="90">
        <f t="shared" si="33"/>
        <v>5</v>
      </c>
      <c r="K46" s="233">
        <f t="shared" si="34"/>
        <v>98.333333333333329</v>
      </c>
      <c r="L46" s="90">
        <f t="shared" si="35"/>
        <v>295</v>
      </c>
      <c r="M46" s="233">
        <f t="shared" si="36"/>
        <v>2.333333333333333</v>
      </c>
      <c r="N46" s="90">
        <v>7</v>
      </c>
      <c r="O46" s="233">
        <f t="shared" si="37"/>
        <v>96</v>
      </c>
      <c r="P46" s="90">
        <f t="shared" si="38"/>
        <v>288</v>
      </c>
      <c r="Q46" s="88">
        <v>51136</v>
      </c>
      <c r="R46" s="88" t="s">
        <v>1121</v>
      </c>
      <c r="S46" s="88">
        <v>42005</v>
      </c>
      <c r="T46" s="89">
        <v>607500</v>
      </c>
      <c r="U46" s="89">
        <f t="shared" si="9"/>
        <v>10125</v>
      </c>
      <c r="V46" s="152">
        <f>T46</f>
        <v>607500</v>
      </c>
      <c r="W46" s="233">
        <f t="shared" si="24"/>
        <v>2024.9999999999998</v>
      </c>
      <c r="X46" s="474">
        <f t="shared" si="28"/>
        <v>10124.999999999998</v>
      </c>
      <c r="Y46" s="125">
        <f t="shared" si="29"/>
        <v>597375</v>
      </c>
      <c r="Z46" s="100">
        <v>115.958</v>
      </c>
      <c r="AA46" s="472">
        <v>115.95399999999999</v>
      </c>
      <c r="AB46" s="98">
        <f t="shared" si="39"/>
        <v>1.0000344964382428</v>
      </c>
      <c r="AC46" s="98">
        <f t="shared" si="40"/>
        <v>2025</v>
      </c>
      <c r="AD46" s="98">
        <f t="shared" si="41"/>
        <v>2025.0698552874417</v>
      </c>
      <c r="AE46" s="98"/>
      <c r="AF46" s="98"/>
      <c r="AG46" s="98"/>
      <c r="AH46" s="98"/>
      <c r="AI46" s="98"/>
      <c r="AJ46" s="98">
        <f t="shared" si="42"/>
        <v>2025.0698552874417</v>
      </c>
      <c r="AK46" s="98">
        <f t="shared" si="42"/>
        <v>2025.0698552874417</v>
      </c>
      <c r="AL46" s="98">
        <f t="shared" si="42"/>
        <v>2025.0698552874417</v>
      </c>
      <c r="AM46" s="98">
        <f t="shared" si="42"/>
        <v>2025.0698552874417</v>
      </c>
      <c r="AN46" s="98">
        <f t="shared" si="42"/>
        <v>2025.0698552874417</v>
      </c>
      <c r="AO46" s="98">
        <f t="shared" si="42"/>
        <v>2025.0698552874417</v>
      </c>
      <c r="AP46" s="98">
        <f t="shared" si="42"/>
        <v>2025.0698552874417</v>
      </c>
      <c r="AQ46" s="116">
        <f t="shared" si="43"/>
        <v>14175.488987012091</v>
      </c>
      <c r="AR46" s="116">
        <f t="shared" si="18"/>
        <v>583199.51101298793</v>
      </c>
    </row>
    <row r="47" spans="1:44" x14ac:dyDescent="0.2">
      <c r="T47" s="545">
        <f>SUM(T13:T46)</f>
        <v>31739241.82</v>
      </c>
      <c r="AJ47" s="17">
        <f t="shared" ref="AJ47:AR47" si="44">SUM(AJ13:AJ46)</f>
        <v>87603.121772476472</v>
      </c>
      <c r="AK47" s="17">
        <f t="shared" si="44"/>
        <v>87603.121772476472</v>
      </c>
      <c r="AL47" s="17">
        <f t="shared" si="44"/>
        <v>93646.217010571709</v>
      </c>
      <c r="AM47" s="17">
        <f t="shared" si="44"/>
        <v>99357.0951058098</v>
      </c>
      <c r="AN47" s="17">
        <f t="shared" si="44"/>
        <v>99357.0951058098</v>
      </c>
      <c r="AO47" s="17">
        <f t="shared" si="44"/>
        <v>99357.0951058098</v>
      </c>
      <c r="AP47" s="17">
        <f t="shared" si="44"/>
        <v>99357.0951058098</v>
      </c>
      <c r="AQ47" s="17">
        <f t="shared" si="44"/>
        <v>665258.82432404568</v>
      </c>
      <c r="AR47" s="17">
        <f t="shared" si="44"/>
        <v>30414273.623209283</v>
      </c>
    </row>
  </sheetData>
  <sortState ref="A13:AR49">
    <sortCondition ref="A13"/>
  </sortState>
  <mergeCells count="25">
    <mergeCell ref="Q11:Q12"/>
    <mergeCell ref="D10:P10"/>
    <mergeCell ref="R10:T10"/>
    <mergeCell ref="H11:H12"/>
    <mergeCell ref="A11:A12"/>
    <mergeCell ref="B11:B12"/>
    <mergeCell ref="E11:E12"/>
    <mergeCell ref="F11:F12"/>
    <mergeCell ref="G11:G12"/>
    <mergeCell ref="U10:AR10"/>
    <mergeCell ref="I11:I12"/>
    <mergeCell ref="J11:J12"/>
    <mergeCell ref="K11:K12"/>
    <mergeCell ref="L11:L12"/>
    <mergeCell ref="M11:M12"/>
    <mergeCell ref="Y11:Y12"/>
    <mergeCell ref="AC11:AC12"/>
    <mergeCell ref="AD11:AD12"/>
    <mergeCell ref="R11:R12"/>
    <mergeCell ref="S11:S12"/>
    <mergeCell ref="T11:T12"/>
    <mergeCell ref="U11:U12"/>
    <mergeCell ref="V11:V12"/>
    <mergeCell ref="X11:X12"/>
    <mergeCell ref="O11:O12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28"/>
  <sheetViews>
    <sheetView topLeftCell="A7" zoomScale="130" zoomScaleNormal="130" workbookViewId="0">
      <selection activeCell="D18" sqref="D18"/>
    </sheetView>
  </sheetViews>
  <sheetFormatPr baseColWidth="10" defaultRowHeight="12.75" x14ac:dyDescent="0.2"/>
  <cols>
    <col min="2" max="2" width="21" customWidth="1"/>
    <col min="3" max="3" width="0" hidden="1" customWidth="1"/>
    <col min="4" max="4" width="5.85546875" customWidth="1"/>
    <col min="5" max="5" width="7.42578125" customWidth="1"/>
    <col min="6" max="6" width="9.28515625" customWidth="1"/>
    <col min="7" max="7" width="8.7109375" customWidth="1"/>
    <col min="8" max="8" width="6.7109375" hidden="1" customWidth="1"/>
    <col min="9" max="9" width="6.140625" hidden="1" customWidth="1"/>
    <col min="10" max="10" width="7.42578125" hidden="1" customWidth="1"/>
    <col min="11" max="11" width="10" hidden="1" customWidth="1"/>
    <col min="12" max="13" width="9.42578125" hidden="1" customWidth="1"/>
    <col min="14" max="14" width="7.5703125" hidden="1" customWidth="1"/>
    <col min="15" max="15" width="7.7109375" hidden="1" customWidth="1"/>
    <col min="16" max="16" width="11.7109375" hidden="1" customWidth="1"/>
    <col min="17" max="17" width="7.85546875" customWidth="1"/>
    <col min="18" max="18" width="9.7109375" customWidth="1"/>
    <col min="19" max="19" width="6.85546875" customWidth="1"/>
    <col min="20" max="20" width="8.140625" hidden="1" customWidth="1"/>
    <col min="21" max="21" width="8" hidden="1" customWidth="1"/>
    <col min="22" max="24" width="9" hidden="1" customWidth="1"/>
    <col min="25" max="25" width="9" customWidth="1"/>
    <col min="26" max="31" width="9" hidden="1" customWidth="1"/>
    <col min="32" max="32" width="9.5703125" hidden="1" customWidth="1"/>
    <col min="33" max="33" width="9" hidden="1" customWidth="1"/>
    <col min="34" max="34" width="9.140625" hidden="1" customWidth="1"/>
    <col min="35" max="35" width="9" hidden="1" customWidth="1"/>
    <col min="36" max="37" width="10.7109375" bestFit="1" customWidth="1"/>
    <col min="38" max="38" width="9.42578125" customWidth="1"/>
    <col min="39" max="41" width="9" customWidth="1"/>
    <col min="42" max="42" width="9.5703125" customWidth="1"/>
    <col min="43" max="43" width="9" customWidth="1"/>
    <col min="44" max="44" width="9.140625" customWidth="1"/>
    <col min="45" max="45" width="11.5703125" customWidth="1"/>
    <col min="46" max="46" width="11.28515625" bestFit="1" customWidth="1"/>
    <col min="47" max="47" width="11.7109375" bestFit="1" customWidth="1"/>
  </cols>
  <sheetData>
    <row r="1" spans="1:47" x14ac:dyDescent="0.2">
      <c r="A1" s="137"/>
      <c r="B1" s="142" t="s">
        <v>29</v>
      </c>
      <c r="C1" s="137"/>
      <c r="D1" s="501"/>
      <c r="E1" s="138"/>
      <c r="F1" s="136"/>
      <c r="G1" s="161"/>
      <c r="H1" s="138"/>
      <c r="I1" s="139"/>
      <c r="J1" s="139"/>
      <c r="K1" s="147"/>
      <c r="L1" s="139"/>
      <c r="M1" s="139"/>
      <c r="N1" s="140"/>
      <c r="O1" s="139"/>
      <c r="P1" s="139"/>
      <c r="Q1" s="139"/>
      <c r="R1" s="139"/>
      <c r="S1" s="139"/>
      <c r="T1" s="139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9"/>
      <c r="AJ1" s="137"/>
      <c r="AK1" s="141"/>
      <c r="AL1" s="137"/>
      <c r="AM1" s="137"/>
      <c r="AN1" s="137"/>
      <c r="AO1" s="137"/>
      <c r="AP1" s="137"/>
      <c r="AQ1" s="137"/>
      <c r="AR1" s="137"/>
      <c r="AS1" s="139"/>
      <c r="AT1" s="137"/>
      <c r="AU1" s="141"/>
    </row>
    <row r="2" spans="1:47" x14ac:dyDescent="0.2">
      <c r="A2" s="137"/>
      <c r="B2" s="142" t="s">
        <v>612</v>
      </c>
      <c r="C2" s="137"/>
      <c r="D2" s="501"/>
      <c r="E2" s="138"/>
      <c r="F2" s="136"/>
      <c r="G2" s="161"/>
      <c r="H2" s="138"/>
      <c r="I2" s="139"/>
      <c r="J2" s="139"/>
      <c r="K2" s="147"/>
      <c r="L2" s="139"/>
      <c r="M2" s="139"/>
      <c r="N2" s="140"/>
      <c r="O2" s="139"/>
      <c r="P2" s="139"/>
      <c r="Q2" s="139"/>
      <c r="R2" s="139"/>
      <c r="S2" s="139"/>
      <c r="T2" s="139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41"/>
      <c r="AL2" s="137"/>
      <c r="AM2" s="137"/>
      <c r="AN2" s="137"/>
      <c r="AO2" s="137"/>
      <c r="AP2" s="137"/>
      <c r="AQ2" s="137"/>
      <c r="AR2" s="137"/>
      <c r="AS2" s="137"/>
      <c r="AT2" s="137"/>
      <c r="AU2" s="141"/>
    </row>
    <row r="3" spans="1:47" x14ac:dyDescent="0.2">
      <c r="A3" s="137"/>
      <c r="B3" s="137"/>
      <c r="C3" s="142"/>
      <c r="D3" s="500"/>
      <c r="E3" s="138"/>
      <c r="F3" s="142"/>
      <c r="G3" s="162"/>
      <c r="H3" s="159"/>
      <c r="I3" s="139"/>
      <c r="J3" s="139"/>
      <c r="K3" s="148"/>
      <c r="L3" s="139"/>
      <c r="M3" s="139"/>
      <c r="N3" s="140"/>
      <c r="O3" s="139"/>
      <c r="P3" s="139"/>
      <c r="Q3" s="139"/>
      <c r="R3" s="139"/>
      <c r="S3" s="139"/>
      <c r="T3" s="139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41"/>
      <c r="AL3" s="137"/>
      <c r="AM3" s="137"/>
      <c r="AN3" s="137"/>
      <c r="AO3" s="137"/>
      <c r="AP3" s="137"/>
      <c r="AQ3" s="137"/>
      <c r="AR3" s="137"/>
      <c r="AS3" s="137"/>
      <c r="AT3" s="137"/>
      <c r="AU3" s="141"/>
    </row>
    <row r="4" spans="1:47" x14ac:dyDescent="0.2">
      <c r="A4" s="137"/>
      <c r="B4" s="137" t="s">
        <v>452</v>
      </c>
      <c r="C4" s="140"/>
      <c r="D4" s="499"/>
      <c r="E4" s="139"/>
      <c r="F4" s="139"/>
      <c r="G4" s="139"/>
      <c r="H4" s="139"/>
      <c r="I4" s="139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41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41"/>
      <c r="AL4" s="137"/>
      <c r="AM4" s="137"/>
      <c r="AN4" s="137"/>
      <c r="AO4" s="137"/>
      <c r="AP4" s="137"/>
      <c r="AQ4" s="137"/>
      <c r="AR4" s="137"/>
      <c r="AS4" s="137"/>
      <c r="AT4" s="137"/>
      <c r="AU4" s="141"/>
    </row>
    <row r="5" spans="1:47" x14ac:dyDescent="0.2">
      <c r="A5" s="137"/>
      <c r="B5" s="144" t="s">
        <v>479</v>
      </c>
      <c r="C5" s="140"/>
      <c r="D5" s="499"/>
      <c r="E5" s="139"/>
      <c r="F5" s="139"/>
      <c r="G5" s="139"/>
      <c r="H5" s="139"/>
      <c r="I5" s="139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41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41"/>
      <c r="AL5" s="137"/>
      <c r="AM5" s="137"/>
      <c r="AN5" s="137"/>
      <c r="AO5" s="137"/>
      <c r="AP5" s="137"/>
      <c r="AQ5" s="137"/>
      <c r="AR5" s="137"/>
      <c r="AS5" s="137"/>
      <c r="AT5" s="137"/>
      <c r="AU5" s="141"/>
    </row>
    <row r="6" spans="1:47" x14ac:dyDescent="0.2">
      <c r="A6" s="137"/>
      <c r="B6" s="137" t="s">
        <v>858</v>
      </c>
      <c r="C6" s="140"/>
      <c r="D6" s="499"/>
      <c r="E6" s="139"/>
      <c r="F6" s="139"/>
      <c r="G6" s="139"/>
      <c r="H6" s="139"/>
      <c r="I6" s="139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41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41"/>
      <c r="AL6" s="137"/>
      <c r="AM6" s="137"/>
      <c r="AN6" s="137"/>
      <c r="AO6" s="137"/>
      <c r="AP6" s="137"/>
      <c r="AQ6" s="137"/>
      <c r="AR6" s="137"/>
      <c r="AS6" s="137"/>
      <c r="AT6" s="137"/>
      <c r="AU6" s="141"/>
    </row>
    <row r="7" spans="1:47" x14ac:dyDescent="0.2">
      <c r="A7" s="137"/>
      <c r="B7" s="137"/>
      <c r="C7" s="140"/>
      <c r="D7" s="499"/>
      <c r="E7" s="139"/>
      <c r="F7" s="139"/>
      <c r="G7" s="139"/>
      <c r="H7" s="139"/>
      <c r="I7" s="139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41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41"/>
      <c r="AL7" s="137"/>
      <c r="AM7" s="137"/>
      <c r="AN7" s="137"/>
      <c r="AO7" s="137"/>
      <c r="AP7" s="137"/>
      <c r="AQ7" s="137"/>
      <c r="AR7" s="137"/>
      <c r="AS7" s="137"/>
      <c r="AT7" s="137"/>
      <c r="AU7" s="141"/>
    </row>
    <row r="8" spans="1:47" x14ac:dyDescent="0.2">
      <c r="A8" s="22"/>
      <c r="B8" s="22"/>
      <c r="C8" s="22"/>
      <c r="D8" s="498"/>
      <c r="E8" s="80"/>
      <c r="F8" s="79"/>
      <c r="G8" s="163"/>
      <c r="H8" s="80"/>
      <c r="I8" s="81"/>
      <c r="J8" s="81"/>
      <c r="K8" s="149"/>
      <c r="L8" s="81"/>
      <c r="M8" s="81"/>
      <c r="N8" s="120"/>
      <c r="O8" s="81"/>
      <c r="P8" s="81"/>
      <c r="Q8" s="581" t="s">
        <v>1038</v>
      </c>
      <c r="R8" s="581"/>
      <c r="S8" s="581"/>
      <c r="T8" s="81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112"/>
      <c r="AL8" s="22"/>
      <c r="AM8" s="22"/>
      <c r="AN8" s="22"/>
      <c r="AO8" s="22"/>
      <c r="AP8" s="22"/>
      <c r="AQ8" s="22"/>
      <c r="AR8" s="22"/>
      <c r="AS8" s="22"/>
      <c r="AT8" s="22"/>
      <c r="AU8" s="112"/>
    </row>
    <row r="9" spans="1:47" ht="12.75" customHeight="1" x14ac:dyDescent="0.2">
      <c r="A9" s="22"/>
      <c r="B9" s="22"/>
      <c r="C9" s="22"/>
      <c r="D9" s="498"/>
      <c r="E9" s="80"/>
      <c r="F9" s="79"/>
      <c r="G9" s="163"/>
      <c r="H9" s="80"/>
      <c r="I9" s="22"/>
      <c r="J9" s="22"/>
      <c r="K9" s="149"/>
      <c r="L9" s="81"/>
      <c r="M9" s="81"/>
      <c r="N9" s="120"/>
      <c r="O9" s="81"/>
      <c r="P9" s="81"/>
      <c r="Q9" s="581"/>
      <c r="R9" s="581"/>
      <c r="S9" s="581"/>
      <c r="T9" s="81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112"/>
      <c r="AL9" s="22"/>
      <c r="AM9" s="22"/>
      <c r="AN9" s="22"/>
      <c r="AO9" s="22"/>
      <c r="AP9" s="22"/>
      <c r="AQ9" s="22"/>
      <c r="AR9" s="22"/>
      <c r="AS9" s="22"/>
      <c r="AT9" s="22"/>
      <c r="AU9" s="112"/>
    </row>
    <row r="10" spans="1:47" ht="12.75" customHeight="1" x14ac:dyDescent="0.2">
      <c r="D10" s="497"/>
      <c r="E10" s="27"/>
      <c r="F10" s="28"/>
      <c r="G10" s="164"/>
      <c r="H10" s="27"/>
      <c r="K10" s="150"/>
      <c r="N10" s="121"/>
      <c r="Q10" s="581"/>
      <c r="R10" s="581"/>
      <c r="S10" s="581"/>
      <c r="AK10" s="113"/>
      <c r="AU10" s="113"/>
    </row>
    <row r="11" spans="1:47" ht="49.5" customHeight="1" x14ac:dyDescent="0.25">
      <c r="A11" s="582" t="s">
        <v>60</v>
      </c>
      <c r="B11" s="582" t="s">
        <v>0</v>
      </c>
      <c r="C11" s="433" t="s">
        <v>468</v>
      </c>
      <c r="D11" s="496" t="s">
        <v>449</v>
      </c>
      <c r="E11" s="584" t="s">
        <v>58</v>
      </c>
      <c r="F11" s="582" t="s">
        <v>59</v>
      </c>
      <c r="G11" s="586" t="s">
        <v>1</v>
      </c>
      <c r="H11" s="584" t="s">
        <v>1037</v>
      </c>
      <c r="I11" s="36" t="s">
        <v>83</v>
      </c>
      <c r="J11" s="131" t="s">
        <v>450</v>
      </c>
      <c r="K11" s="586" t="s">
        <v>65</v>
      </c>
      <c r="L11" s="35" t="s">
        <v>2</v>
      </c>
      <c r="M11" s="35" t="s">
        <v>16</v>
      </c>
      <c r="N11" s="122" t="s">
        <v>16</v>
      </c>
      <c r="O11" s="35" t="s">
        <v>17</v>
      </c>
      <c r="P11" s="35" t="s">
        <v>18</v>
      </c>
      <c r="Q11" s="36" t="s">
        <v>83</v>
      </c>
      <c r="R11" s="35" t="s">
        <v>458</v>
      </c>
      <c r="S11" s="36" t="s">
        <v>83</v>
      </c>
      <c r="T11" s="35" t="s">
        <v>3</v>
      </c>
      <c r="U11" s="35" t="s">
        <v>4</v>
      </c>
      <c r="V11" s="35" t="s">
        <v>5</v>
      </c>
      <c r="W11" s="35" t="s">
        <v>6</v>
      </c>
      <c r="X11" s="35" t="s">
        <v>7</v>
      </c>
      <c r="Y11" s="35" t="s">
        <v>1036</v>
      </c>
      <c r="Z11" s="35" t="s">
        <v>16</v>
      </c>
      <c r="AA11" s="122" t="s">
        <v>16</v>
      </c>
      <c r="AB11" s="35" t="s">
        <v>17</v>
      </c>
      <c r="AC11" s="35" t="s">
        <v>8</v>
      </c>
      <c r="AD11" s="35" t="s">
        <v>9</v>
      </c>
      <c r="AE11" s="35" t="s">
        <v>10</v>
      </c>
      <c r="AF11" s="35" t="s">
        <v>11</v>
      </c>
      <c r="AG11" s="35" t="s">
        <v>12</v>
      </c>
      <c r="AH11" s="35" t="s">
        <v>13</v>
      </c>
      <c r="AI11" s="35" t="s">
        <v>14</v>
      </c>
      <c r="AJ11" s="495" t="s">
        <v>1035</v>
      </c>
      <c r="AK11" s="495" t="s">
        <v>1034</v>
      </c>
      <c r="AL11" s="495" t="s">
        <v>1033</v>
      </c>
      <c r="AM11" s="35" t="s">
        <v>8</v>
      </c>
      <c r="AN11" s="35" t="s">
        <v>9</v>
      </c>
      <c r="AO11" s="35" t="s">
        <v>10</v>
      </c>
      <c r="AP11" s="35" t="s">
        <v>11</v>
      </c>
      <c r="AQ11" s="35" t="s">
        <v>12</v>
      </c>
      <c r="AR11" s="35" t="s">
        <v>13</v>
      </c>
      <c r="AS11" s="35" t="s">
        <v>14</v>
      </c>
      <c r="AT11" s="495" t="s">
        <v>1032</v>
      </c>
      <c r="AU11" s="114" t="s">
        <v>66</v>
      </c>
    </row>
    <row r="12" spans="1:47" ht="38.25" x14ac:dyDescent="0.25">
      <c r="A12" s="583"/>
      <c r="B12" s="583"/>
      <c r="C12" s="175" t="s">
        <v>510</v>
      </c>
      <c r="D12" s="494"/>
      <c r="E12" s="585"/>
      <c r="F12" s="583" t="s">
        <v>19</v>
      </c>
      <c r="G12" s="587"/>
      <c r="H12" s="585"/>
      <c r="I12" s="37" t="s">
        <v>84</v>
      </c>
      <c r="J12" s="37" t="s">
        <v>84</v>
      </c>
      <c r="K12" s="587">
        <v>41639</v>
      </c>
      <c r="L12" s="37" t="s">
        <v>20</v>
      </c>
      <c r="M12" s="37" t="s">
        <v>21</v>
      </c>
      <c r="N12" s="123" t="s">
        <v>22</v>
      </c>
      <c r="O12" s="37" t="s">
        <v>23</v>
      </c>
      <c r="P12" s="37" t="s">
        <v>24</v>
      </c>
      <c r="Q12" s="37" t="s">
        <v>84</v>
      </c>
      <c r="R12" s="37"/>
      <c r="S12" s="82" t="s">
        <v>448</v>
      </c>
      <c r="T12" s="37">
        <v>2014</v>
      </c>
      <c r="U12" s="37">
        <v>2014</v>
      </c>
      <c r="V12" s="37">
        <v>2014</v>
      </c>
      <c r="W12" s="37">
        <v>2014</v>
      </c>
      <c r="X12" s="37">
        <v>2014</v>
      </c>
      <c r="Y12" s="37">
        <v>2014</v>
      </c>
      <c r="Z12" s="37" t="s">
        <v>21</v>
      </c>
      <c r="AA12" s="123" t="s">
        <v>22</v>
      </c>
      <c r="AB12" s="37" t="s">
        <v>23</v>
      </c>
      <c r="AC12" s="37">
        <v>2014</v>
      </c>
      <c r="AD12" s="37">
        <v>2014</v>
      </c>
      <c r="AE12" s="37">
        <v>2014</v>
      </c>
      <c r="AF12" s="37">
        <v>2014</v>
      </c>
      <c r="AG12" s="37">
        <v>2014</v>
      </c>
      <c r="AH12" s="37">
        <v>2014</v>
      </c>
      <c r="AI12" s="37">
        <v>2014</v>
      </c>
      <c r="AJ12" s="37">
        <v>2014</v>
      </c>
      <c r="AK12" s="37">
        <v>2015</v>
      </c>
      <c r="AL12" s="37">
        <v>2015</v>
      </c>
      <c r="AM12" s="37">
        <v>2015</v>
      </c>
      <c r="AN12" s="37">
        <v>2015</v>
      </c>
      <c r="AO12" s="37">
        <v>2015</v>
      </c>
      <c r="AP12" s="37">
        <v>2015</v>
      </c>
      <c r="AQ12" s="37">
        <v>2015</v>
      </c>
      <c r="AR12" s="37">
        <v>2015</v>
      </c>
      <c r="AS12" s="37">
        <v>2015</v>
      </c>
      <c r="AT12" s="37">
        <v>2015</v>
      </c>
      <c r="AU12" s="37" t="s">
        <v>67</v>
      </c>
    </row>
    <row r="13" spans="1:47" ht="13.5" x14ac:dyDescent="0.25">
      <c r="A13" s="46"/>
      <c r="B13" s="15"/>
      <c r="C13" s="87"/>
      <c r="D13" s="90"/>
      <c r="E13" s="181"/>
      <c r="F13" s="182"/>
      <c r="G13" s="11"/>
      <c r="H13" s="90"/>
      <c r="I13" s="101"/>
      <c r="J13" s="101"/>
      <c r="K13" s="193"/>
      <c r="L13" s="99"/>
      <c r="M13" s="100"/>
      <c r="N13" s="125"/>
      <c r="O13" s="100"/>
      <c r="P13" s="98"/>
      <c r="Q13" s="101"/>
      <c r="R13" s="98"/>
      <c r="S13" s="101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116"/>
      <c r="AL13" s="98"/>
      <c r="AM13" s="98"/>
      <c r="AN13" s="98"/>
      <c r="AO13" s="98"/>
      <c r="AP13" s="98"/>
      <c r="AQ13" s="98"/>
      <c r="AR13" s="98"/>
      <c r="AS13" s="98"/>
      <c r="AT13" s="98"/>
      <c r="AU13" s="116"/>
    </row>
    <row r="14" spans="1:47" x14ac:dyDescent="0.2">
      <c r="A14" s="493" t="s">
        <v>1031</v>
      </c>
      <c r="B14" s="493"/>
      <c r="C14" s="493"/>
      <c r="D14" s="199"/>
      <c r="E14" s="46"/>
      <c r="F14" s="171"/>
      <c r="G14" s="11"/>
      <c r="H14" s="179"/>
      <c r="I14" s="12"/>
      <c r="J14" s="12"/>
      <c r="K14" s="194"/>
      <c r="L14" s="107"/>
      <c r="M14" s="108"/>
      <c r="N14" s="127"/>
      <c r="O14" s="108"/>
      <c r="P14" s="106"/>
      <c r="Q14" s="12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</row>
    <row r="15" spans="1:47" x14ac:dyDescent="0.2">
      <c r="A15" s="172"/>
      <c r="B15" s="180"/>
      <c r="C15" s="87"/>
      <c r="D15" s="208"/>
      <c r="E15" s="51"/>
      <c r="F15" s="182"/>
      <c r="G15" s="183"/>
      <c r="H15" s="90"/>
      <c r="I15" s="101"/>
      <c r="J15" s="101"/>
      <c r="K15" s="193"/>
      <c r="L15" s="99"/>
      <c r="M15" s="100"/>
      <c r="N15" s="125"/>
      <c r="O15" s="100"/>
      <c r="P15" s="98"/>
      <c r="Q15" s="101"/>
      <c r="R15" s="160">
        <v>3232</v>
      </c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>
        <v>1263</v>
      </c>
      <c r="AK15" s="160">
        <v>1241</v>
      </c>
      <c r="AL15" s="160"/>
      <c r="AM15" s="160"/>
      <c r="AN15" s="160"/>
      <c r="AO15" s="160"/>
      <c r="AP15" s="160"/>
      <c r="AQ15" s="160"/>
      <c r="AR15" s="160"/>
      <c r="AS15" s="160"/>
      <c r="AT15" s="160">
        <v>1263</v>
      </c>
      <c r="AU15" s="160">
        <v>1241</v>
      </c>
    </row>
    <row r="16" spans="1:47" x14ac:dyDescent="0.2">
      <c r="A16" s="171" t="s">
        <v>1030</v>
      </c>
      <c r="B16" s="145" t="s">
        <v>1029</v>
      </c>
      <c r="C16" s="245"/>
      <c r="D16" s="251">
        <v>5</v>
      </c>
      <c r="E16" s="489">
        <v>0.2</v>
      </c>
      <c r="F16" s="488">
        <v>37487</v>
      </c>
      <c r="G16" s="487">
        <v>401600.01</v>
      </c>
      <c r="H16" s="251">
        <f>((2013-YEAR(F16))*12+MONTH(F16))</f>
        <v>140</v>
      </c>
      <c r="I16" s="486">
        <f>D16*12</f>
        <v>60</v>
      </c>
      <c r="J16" s="485">
        <f>I16-H16</f>
        <v>-80</v>
      </c>
      <c r="K16" s="484">
        <f>((G16*E16)/12)*H16</f>
        <v>937066.69000000006</v>
      </c>
      <c r="L16" s="483">
        <f>G16-K16</f>
        <v>-535466.68000000005</v>
      </c>
      <c r="M16" s="482">
        <v>115.958</v>
      </c>
      <c r="N16" s="482">
        <v>100.58499999999999</v>
      </c>
      <c r="O16" s="482">
        <f>M16/N16</f>
        <v>1.1528359099269276</v>
      </c>
      <c r="P16" s="478">
        <f>L16*O16</f>
        <v>-617305.21727335104</v>
      </c>
      <c r="Q16" s="481">
        <f>D16*12</f>
        <v>60</v>
      </c>
      <c r="R16" s="478">
        <f>G16/Q16*S16</f>
        <v>200800.005</v>
      </c>
      <c r="S16" s="481">
        <f>30</f>
        <v>30</v>
      </c>
      <c r="T16" s="478">
        <f t="shared" ref="T16:X17" si="0">$R16/$S16</f>
        <v>6693.3334999999997</v>
      </c>
      <c r="U16" s="478">
        <f t="shared" si="0"/>
        <v>6693.3334999999997</v>
      </c>
      <c r="V16" s="478">
        <f t="shared" si="0"/>
        <v>6693.3334999999997</v>
      </c>
      <c r="W16" s="478">
        <f t="shared" si="0"/>
        <v>6693.3334999999997</v>
      </c>
      <c r="X16" s="478">
        <f t="shared" si="0"/>
        <v>6693.3334999999997</v>
      </c>
      <c r="Y16" s="478">
        <f>SUM(T16:X16)</f>
        <v>33466.667499999996</v>
      </c>
      <c r="Z16" s="479">
        <v>112.72199999999999</v>
      </c>
      <c r="AA16" s="482">
        <v>100.58499999999999</v>
      </c>
      <c r="AB16" s="478">
        <f>Z16/AA16</f>
        <v>1.120664114927673</v>
      </c>
      <c r="AC16" s="478">
        <f t="shared" ref="AC16:AI17" si="1">($R16/$S16)*$AB16</f>
        <v>7500.9786626932437</v>
      </c>
      <c r="AD16" s="478">
        <f t="shared" si="1"/>
        <v>7500.9786626932437</v>
      </c>
      <c r="AE16" s="478">
        <f t="shared" si="1"/>
        <v>7500.9786626932437</v>
      </c>
      <c r="AF16" s="478">
        <f t="shared" si="1"/>
        <v>7500.9786626932437</v>
      </c>
      <c r="AG16" s="478">
        <f t="shared" si="1"/>
        <v>7500.9786626932437</v>
      </c>
      <c r="AH16" s="478">
        <f t="shared" si="1"/>
        <v>7500.9786626932437</v>
      </c>
      <c r="AI16" s="478">
        <f t="shared" si="1"/>
        <v>7500.9786626932437</v>
      </c>
      <c r="AJ16" s="478">
        <f>SUM(AC16:AI16)</f>
        <v>52506.850638852717</v>
      </c>
      <c r="AK16" s="477">
        <f>R16-Y16-AJ16</f>
        <v>114826.48686114731</v>
      </c>
      <c r="AL16" s="478">
        <f>AI16*5</f>
        <v>37504.893313466222</v>
      </c>
      <c r="AM16" s="478">
        <f t="shared" ref="AM16:AS17" si="2">$AI16*$O16</f>
        <v>8647.3975619484336</v>
      </c>
      <c r="AN16" s="478">
        <f t="shared" si="2"/>
        <v>8647.3975619484336</v>
      </c>
      <c r="AO16" s="478">
        <f t="shared" si="2"/>
        <v>8647.3975619484336</v>
      </c>
      <c r="AP16" s="478">
        <f t="shared" si="2"/>
        <v>8647.3975619484336</v>
      </c>
      <c r="AQ16" s="478">
        <f t="shared" si="2"/>
        <v>8647.3975619484336</v>
      </c>
      <c r="AR16" s="478">
        <f t="shared" si="2"/>
        <v>8647.3975619484336</v>
      </c>
      <c r="AS16" s="478">
        <f t="shared" si="2"/>
        <v>8647.3975619484336</v>
      </c>
      <c r="AT16" s="478">
        <f>SUM(AL16:AS16)</f>
        <v>98036.676247105235</v>
      </c>
      <c r="AU16" s="477">
        <f>AK16-AT16</f>
        <v>16789.810614042071</v>
      </c>
    </row>
    <row r="17" spans="1:47" x14ac:dyDescent="0.2">
      <c r="A17" s="171" t="s">
        <v>1039</v>
      </c>
      <c r="B17" s="145" t="s">
        <v>1026</v>
      </c>
      <c r="C17" s="245"/>
      <c r="D17" s="251">
        <v>5</v>
      </c>
      <c r="E17" s="489">
        <v>0.2</v>
      </c>
      <c r="F17" s="488">
        <v>37077</v>
      </c>
      <c r="G17" s="487">
        <v>594735.61</v>
      </c>
      <c r="H17" s="251">
        <f>((2013-YEAR(F17))*12+MONTH(F17))</f>
        <v>151</v>
      </c>
      <c r="I17" s="486">
        <f>D17*12</f>
        <v>60</v>
      </c>
      <c r="J17" s="485">
        <f>I17-H17</f>
        <v>-91</v>
      </c>
      <c r="K17" s="484">
        <f>((G17*E17)/12)*H17</f>
        <v>1496751.2851666666</v>
      </c>
      <c r="L17" s="483">
        <f>G17-K17</f>
        <v>-902015.67516666662</v>
      </c>
      <c r="M17" s="482">
        <v>115.958</v>
      </c>
      <c r="N17" s="480">
        <v>94.966999999999999</v>
      </c>
      <c r="O17" s="482">
        <f>M17/N17</f>
        <v>1.2210346752029653</v>
      </c>
      <c r="P17" s="478">
        <f>L17*O17</f>
        <v>-1101392.4169551141</v>
      </c>
      <c r="Q17" s="481">
        <f>D17*12</f>
        <v>60</v>
      </c>
      <c r="R17" s="478">
        <f>G17/Q17*S17</f>
        <v>297367.80499999999</v>
      </c>
      <c r="S17" s="481">
        <f>30</f>
        <v>30</v>
      </c>
      <c r="T17" s="478">
        <f t="shared" si="0"/>
        <v>9912.2601666666669</v>
      </c>
      <c r="U17" s="478">
        <f t="shared" si="0"/>
        <v>9912.2601666666669</v>
      </c>
      <c r="V17" s="478">
        <f t="shared" si="0"/>
        <v>9912.2601666666669</v>
      </c>
      <c r="W17" s="478">
        <f t="shared" si="0"/>
        <v>9912.2601666666669</v>
      </c>
      <c r="X17" s="478">
        <f t="shared" si="0"/>
        <v>9912.2601666666669</v>
      </c>
      <c r="Y17" s="478">
        <f>SUM(T17:X17)</f>
        <v>49561.300833333335</v>
      </c>
      <c r="Z17" s="479">
        <v>112.72199999999999</v>
      </c>
      <c r="AA17" s="480">
        <v>94.966999999999999</v>
      </c>
      <c r="AB17" s="478">
        <f>Z17/AA17</f>
        <v>1.1869596807312013</v>
      </c>
      <c r="AC17" s="478">
        <f t="shared" si="1"/>
        <v>11765.453162751272</v>
      </c>
      <c r="AD17" s="478">
        <f t="shared" si="1"/>
        <v>11765.453162751272</v>
      </c>
      <c r="AE17" s="478">
        <f t="shared" si="1"/>
        <v>11765.453162751272</v>
      </c>
      <c r="AF17" s="478">
        <f t="shared" si="1"/>
        <v>11765.453162751272</v>
      </c>
      <c r="AG17" s="478">
        <f t="shared" si="1"/>
        <v>11765.453162751272</v>
      </c>
      <c r="AH17" s="478">
        <f t="shared" si="1"/>
        <v>11765.453162751272</v>
      </c>
      <c r="AI17" s="478">
        <f t="shared" si="1"/>
        <v>11765.453162751272</v>
      </c>
      <c r="AJ17" s="478">
        <f>SUM(AC17:AI17)</f>
        <v>82358.17213925891</v>
      </c>
      <c r="AK17" s="477">
        <f>R17-Y17-AJ17</f>
        <v>165448.33202740774</v>
      </c>
      <c r="AL17" s="478">
        <f>AI17*5</f>
        <v>58827.265813756356</v>
      </c>
      <c r="AM17" s="478">
        <f t="shared" si="2"/>
        <v>14366.0262811957</v>
      </c>
      <c r="AN17" s="478">
        <f t="shared" si="2"/>
        <v>14366.0262811957</v>
      </c>
      <c r="AO17" s="478">
        <f t="shared" si="2"/>
        <v>14366.0262811957</v>
      </c>
      <c r="AP17" s="478">
        <f t="shared" si="2"/>
        <v>14366.0262811957</v>
      </c>
      <c r="AQ17" s="478">
        <f t="shared" si="2"/>
        <v>14366.0262811957</v>
      </c>
      <c r="AR17" s="478">
        <f t="shared" si="2"/>
        <v>14366.0262811957</v>
      </c>
      <c r="AS17" s="478">
        <f t="shared" si="2"/>
        <v>14366.0262811957</v>
      </c>
      <c r="AT17" s="478">
        <f>SUM(AL17:AS17)</f>
        <v>159389.4497821262</v>
      </c>
      <c r="AU17" s="477">
        <f>AK17-AT17</f>
        <v>6058.8822452815366</v>
      </c>
    </row>
    <row r="18" spans="1:47" x14ac:dyDescent="0.2">
      <c r="A18" s="493" t="s">
        <v>783</v>
      </c>
      <c r="B18" s="467"/>
      <c r="C18" s="468"/>
      <c r="D18" s="251"/>
      <c r="E18" s="489"/>
      <c r="F18" s="488"/>
      <c r="G18" s="487"/>
      <c r="H18" s="251"/>
      <c r="I18" s="486"/>
      <c r="J18" s="485"/>
      <c r="K18" s="484"/>
      <c r="L18" s="483"/>
      <c r="M18" s="482"/>
      <c r="N18" s="480"/>
      <c r="O18" s="482"/>
      <c r="P18" s="478"/>
      <c r="Q18" s="481"/>
      <c r="R18" s="478"/>
      <c r="S18" s="481"/>
      <c r="T18" s="478"/>
      <c r="U18" s="478"/>
      <c r="V18" s="478"/>
      <c r="W18" s="478"/>
      <c r="X18" s="478"/>
      <c r="Y18" s="478"/>
      <c r="Z18" s="479"/>
      <c r="AA18" s="480"/>
      <c r="AB18" s="478"/>
      <c r="AC18" s="478"/>
      <c r="AD18" s="478"/>
      <c r="AE18" s="478"/>
      <c r="AF18" s="478"/>
      <c r="AG18" s="478"/>
      <c r="AH18" s="478"/>
      <c r="AI18" s="478"/>
      <c r="AJ18" s="478"/>
      <c r="AK18" s="477"/>
      <c r="AL18" s="478"/>
      <c r="AM18" s="478"/>
      <c r="AN18" s="478"/>
      <c r="AO18" s="478"/>
      <c r="AP18" s="478"/>
      <c r="AQ18" s="478"/>
      <c r="AR18" s="478"/>
      <c r="AS18" s="478"/>
      <c r="AT18" s="478"/>
      <c r="AU18" s="477"/>
    </row>
    <row r="19" spans="1:47" x14ac:dyDescent="0.2">
      <c r="A19" s="145" t="s">
        <v>1024</v>
      </c>
      <c r="B19" s="145" t="s">
        <v>1023</v>
      </c>
      <c r="C19" s="245"/>
      <c r="D19" s="251">
        <v>5</v>
      </c>
      <c r="E19" s="489">
        <v>0.2</v>
      </c>
      <c r="F19" s="488">
        <v>38492</v>
      </c>
      <c r="G19" s="487">
        <v>153000</v>
      </c>
      <c r="H19" s="251">
        <f t="shared" ref="H19" si="3">((2013-YEAR(F19))*12+MONTH(F19))</f>
        <v>101</v>
      </c>
      <c r="I19" s="486">
        <f t="shared" ref="I19" si="4">D19*12</f>
        <v>60</v>
      </c>
      <c r="J19" s="485">
        <f t="shared" ref="J19" si="5">I19-H19</f>
        <v>-41</v>
      </c>
      <c r="K19" s="484">
        <f t="shared" ref="K19" si="6">((G19*E19)/12)*H19</f>
        <v>257550</v>
      </c>
      <c r="L19" s="483">
        <f t="shared" ref="L19" si="7">G19-K19</f>
        <v>-104550</v>
      </c>
      <c r="M19" s="482">
        <v>115.958</v>
      </c>
      <c r="N19" s="480">
        <v>113.556</v>
      </c>
      <c r="O19" s="482">
        <f t="shared" ref="O19" si="8">M19/N19</f>
        <v>1.0211525590897883</v>
      </c>
      <c r="P19" s="478">
        <f t="shared" ref="P19" si="9">L19*O19</f>
        <v>-106761.50005283736</v>
      </c>
      <c r="Q19" s="481">
        <f t="shared" ref="Q19" si="10">D19*12</f>
        <v>60</v>
      </c>
      <c r="R19" s="478">
        <f t="shared" ref="R19" si="11">G19/Q19*S19</f>
        <v>76500</v>
      </c>
      <c r="S19" s="481">
        <f>30</f>
        <v>30</v>
      </c>
      <c r="T19" s="478">
        <f t="shared" ref="T19:X19" si="12">$R19/$S19</f>
        <v>2550</v>
      </c>
      <c r="U19" s="478">
        <f t="shared" si="12"/>
        <v>2550</v>
      </c>
      <c r="V19" s="478">
        <f t="shared" si="12"/>
        <v>2550</v>
      </c>
      <c r="W19" s="478">
        <f t="shared" si="12"/>
        <v>2550</v>
      </c>
      <c r="X19" s="478">
        <f t="shared" si="12"/>
        <v>2550</v>
      </c>
      <c r="Y19" s="478">
        <f t="shared" ref="Y19" si="13">SUM(T19:X19)</f>
        <v>12750</v>
      </c>
      <c r="Z19" s="479">
        <v>112.72199999999999</v>
      </c>
      <c r="AA19" s="480">
        <v>113.556</v>
      </c>
      <c r="AB19" s="478">
        <f t="shared" ref="AB19" si="14">Z19/AA19</f>
        <v>0.99265560604459468</v>
      </c>
      <c r="AC19" s="478">
        <f t="shared" ref="AC19:AI19" si="15">($R19/$S19)*$AB19</f>
        <v>2531.2717954137165</v>
      </c>
      <c r="AD19" s="478">
        <f t="shared" si="15"/>
        <v>2531.2717954137165</v>
      </c>
      <c r="AE19" s="478">
        <f t="shared" si="15"/>
        <v>2531.2717954137165</v>
      </c>
      <c r="AF19" s="478">
        <f t="shared" si="15"/>
        <v>2531.2717954137165</v>
      </c>
      <c r="AG19" s="478">
        <f t="shared" si="15"/>
        <v>2531.2717954137165</v>
      </c>
      <c r="AH19" s="478">
        <f t="shared" si="15"/>
        <v>2531.2717954137165</v>
      </c>
      <c r="AI19" s="478">
        <f t="shared" si="15"/>
        <v>2531.2717954137165</v>
      </c>
      <c r="AJ19" s="478">
        <f t="shared" ref="AJ19" si="16">SUM(AC19:AI19)</f>
        <v>17718.902567896017</v>
      </c>
      <c r="AK19" s="477">
        <f t="shared" ref="AK19" si="17">R19-Y19-AJ19</f>
        <v>46031.097432103983</v>
      </c>
      <c r="AL19" s="478">
        <f t="shared" ref="AL19" si="18">AI19*5</f>
        <v>12656.358977068583</v>
      </c>
      <c r="AM19" s="478">
        <f t="shared" ref="AM19:AS19" si="19">$AI19*$O19</f>
        <v>2584.8146716385195</v>
      </c>
      <c r="AN19" s="478">
        <f t="shared" si="19"/>
        <v>2584.8146716385195</v>
      </c>
      <c r="AO19" s="478">
        <f t="shared" si="19"/>
        <v>2584.8146716385195</v>
      </c>
      <c r="AP19" s="478">
        <f t="shared" si="19"/>
        <v>2584.8146716385195</v>
      </c>
      <c r="AQ19" s="478">
        <f t="shared" si="19"/>
        <v>2584.8146716385195</v>
      </c>
      <c r="AR19" s="478">
        <f t="shared" si="19"/>
        <v>2584.8146716385195</v>
      </c>
      <c r="AS19" s="478">
        <f t="shared" si="19"/>
        <v>2584.8146716385195</v>
      </c>
      <c r="AT19" s="478">
        <f t="shared" ref="AT19" si="20">SUM(AL19:AS19)</f>
        <v>30750.061678538223</v>
      </c>
      <c r="AU19" s="477">
        <f t="shared" ref="AU19" si="21">AK19-AT19</f>
        <v>15281.03575356576</v>
      </c>
    </row>
    <row r="20" spans="1:47" x14ac:dyDescent="0.2">
      <c r="A20" s="171" t="s">
        <v>1007</v>
      </c>
      <c r="B20" s="145" t="s">
        <v>1006</v>
      </c>
      <c r="C20" s="245"/>
      <c r="D20" s="251">
        <v>5</v>
      </c>
      <c r="E20" s="489">
        <v>0.2</v>
      </c>
      <c r="F20" s="488">
        <v>39219</v>
      </c>
      <c r="G20" s="487">
        <v>11343</v>
      </c>
      <c r="H20" s="251">
        <f>((2013-YEAR(F20))*12+MONTH(F20))</f>
        <v>77</v>
      </c>
      <c r="I20" s="486">
        <f>D20*12</f>
        <v>60</v>
      </c>
      <c r="J20" s="485">
        <f>I20-H20</f>
        <v>-17</v>
      </c>
      <c r="K20" s="484">
        <f>((G20*E20)/12)*H20</f>
        <v>14556.849999999999</v>
      </c>
      <c r="L20" s="483">
        <f>G20-K20</f>
        <v>-3213.8499999999985</v>
      </c>
      <c r="M20" s="482">
        <v>115.958</v>
      </c>
      <c r="N20" s="480">
        <v>121.575</v>
      </c>
      <c r="O20" s="482">
        <f>M20/N20</f>
        <v>0.95379806703680847</v>
      </c>
      <c r="P20" s="478">
        <f>L20*O20</f>
        <v>-3065.3639177462455</v>
      </c>
      <c r="Q20" s="481">
        <f>D20*12</f>
        <v>60</v>
      </c>
      <c r="R20" s="478">
        <f>G20/Q20*S20</f>
        <v>5671.5</v>
      </c>
      <c r="S20" s="481">
        <f>30</f>
        <v>30</v>
      </c>
      <c r="T20" s="478">
        <f t="shared" ref="T20:X23" si="22">$R20/$S20</f>
        <v>189.05</v>
      </c>
      <c r="U20" s="478">
        <f t="shared" si="22"/>
        <v>189.05</v>
      </c>
      <c r="V20" s="478">
        <f t="shared" si="22"/>
        <v>189.05</v>
      </c>
      <c r="W20" s="478">
        <f t="shared" si="22"/>
        <v>189.05</v>
      </c>
      <c r="X20" s="478">
        <f t="shared" si="22"/>
        <v>189.05</v>
      </c>
      <c r="Y20" s="478">
        <f t="shared" ref="Y20:Y26" si="23">SUM(T20:X20)</f>
        <v>945.25</v>
      </c>
      <c r="Z20" s="479">
        <v>112.72199999999999</v>
      </c>
      <c r="AA20" s="480">
        <v>121.575</v>
      </c>
      <c r="AB20" s="478">
        <f t="shared" ref="AB20:AB26" si="24">Z20/AA20</f>
        <v>0.9271807526218383</v>
      </c>
      <c r="AC20" s="478">
        <f t="shared" ref="AC20:AI25" si="25">($R20/$S20)*$AB20</f>
        <v>175.28352128315854</v>
      </c>
      <c r="AD20" s="478">
        <f t="shared" si="25"/>
        <v>175.28352128315854</v>
      </c>
      <c r="AE20" s="478">
        <f t="shared" si="25"/>
        <v>175.28352128315854</v>
      </c>
      <c r="AF20" s="478">
        <f t="shared" si="25"/>
        <v>175.28352128315854</v>
      </c>
      <c r="AG20" s="478">
        <f t="shared" si="25"/>
        <v>175.28352128315854</v>
      </c>
      <c r="AH20" s="478">
        <f t="shared" si="25"/>
        <v>175.28352128315854</v>
      </c>
      <c r="AI20" s="478">
        <f t="shared" si="25"/>
        <v>175.28352128315854</v>
      </c>
      <c r="AJ20" s="478">
        <f t="shared" ref="AJ20:AJ26" si="26">SUM(AC20:AI20)</f>
        <v>1226.9846489821098</v>
      </c>
      <c r="AK20" s="477">
        <f t="shared" ref="AK20:AK26" si="27">R20-Y20-AJ20</f>
        <v>3499.2653510178902</v>
      </c>
      <c r="AL20" s="478">
        <f>AI20*5</f>
        <v>876.41760641579265</v>
      </c>
      <c r="AM20" s="478">
        <f t="shared" ref="AM20:AS23" si="28">$AI20*$O20</f>
        <v>167.1850837832819</v>
      </c>
      <c r="AN20" s="478">
        <f t="shared" si="28"/>
        <v>167.1850837832819</v>
      </c>
      <c r="AO20" s="478">
        <f t="shared" si="28"/>
        <v>167.1850837832819</v>
      </c>
      <c r="AP20" s="478">
        <f t="shared" si="28"/>
        <v>167.1850837832819</v>
      </c>
      <c r="AQ20" s="478">
        <f t="shared" si="28"/>
        <v>167.1850837832819</v>
      </c>
      <c r="AR20" s="478">
        <f t="shared" si="28"/>
        <v>167.1850837832819</v>
      </c>
      <c r="AS20" s="478">
        <f t="shared" si="28"/>
        <v>167.1850837832819</v>
      </c>
      <c r="AT20" s="478">
        <f>SUM(AL20:AS20)</f>
        <v>2046.713192898766</v>
      </c>
      <c r="AU20" s="477">
        <f>AK20-AT20</f>
        <v>1452.5521581191242</v>
      </c>
    </row>
    <row r="21" spans="1:47" x14ac:dyDescent="0.2">
      <c r="A21" s="171" t="s">
        <v>1019</v>
      </c>
      <c r="B21" s="145" t="s">
        <v>1018</v>
      </c>
      <c r="C21" s="245"/>
      <c r="D21" s="251">
        <v>5</v>
      </c>
      <c r="E21" s="489">
        <v>0.2</v>
      </c>
      <c r="F21" s="488">
        <v>39056</v>
      </c>
      <c r="G21" s="487">
        <v>21170</v>
      </c>
      <c r="H21" s="251">
        <f>((2013-YEAR(F21))*12+MONTH(F21))</f>
        <v>96</v>
      </c>
      <c r="I21" s="486">
        <f>D21*12</f>
        <v>60</v>
      </c>
      <c r="J21" s="485">
        <f>I21-H21</f>
        <v>-36</v>
      </c>
      <c r="K21" s="484">
        <f>((G21*E21)/12)*H21</f>
        <v>33872</v>
      </c>
      <c r="L21" s="483">
        <f>G21-K21</f>
        <v>-12702</v>
      </c>
      <c r="M21" s="482">
        <v>115.958</v>
      </c>
      <c r="N21" s="480">
        <v>121.015</v>
      </c>
      <c r="O21" s="482">
        <f>M21/N21</f>
        <v>0.95821179192662065</v>
      </c>
      <c r="P21" s="478">
        <f>L21*O21</f>
        <v>-12171.206181051935</v>
      </c>
      <c r="Q21" s="481">
        <f>D21*12</f>
        <v>60</v>
      </c>
      <c r="R21" s="478">
        <f>G21/Q21*S21</f>
        <v>10585</v>
      </c>
      <c r="S21" s="481">
        <f>30</f>
        <v>30</v>
      </c>
      <c r="T21" s="478">
        <f t="shared" si="22"/>
        <v>352.83333333333331</v>
      </c>
      <c r="U21" s="478">
        <f t="shared" si="22"/>
        <v>352.83333333333331</v>
      </c>
      <c r="V21" s="478">
        <f t="shared" si="22"/>
        <v>352.83333333333331</v>
      </c>
      <c r="W21" s="478">
        <f t="shared" si="22"/>
        <v>352.83333333333331</v>
      </c>
      <c r="X21" s="478">
        <f t="shared" si="22"/>
        <v>352.83333333333331</v>
      </c>
      <c r="Y21" s="478">
        <f t="shared" si="23"/>
        <v>1764.1666666666665</v>
      </c>
      <c r="Z21" s="479">
        <v>112.72199999999999</v>
      </c>
      <c r="AA21" s="480">
        <v>121.015</v>
      </c>
      <c r="AB21" s="478">
        <f t="shared" si="24"/>
        <v>0.93147130521009791</v>
      </c>
      <c r="AC21" s="478">
        <f t="shared" si="25"/>
        <v>328.65412552162951</v>
      </c>
      <c r="AD21" s="478">
        <f t="shared" si="25"/>
        <v>328.65412552162951</v>
      </c>
      <c r="AE21" s="478">
        <f t="shared" si="25"/>
        <v>328.65412552162951</v>
      </c>
      <c r="AF21" s="478">
        <f t="shared" si="25"/>
        <v>328.65412552162951</v>
      </c>
      <c r="AG21" s="478">
        <f t="shared" si="25"/>
        <v>328.65412552162951</v>
      </c>
      <c r="AH21" s="478">
        <f t="shared" si="25"/>
        <v>328.65412552162951</v>
      </c>
      <c r="AI21" s="478">
        <f t="shared" si="25"/>
        <v>328.65412552162951</v>
      </c>
      <c r="AJ21" s="478">
        <f t="shared" si="26"/>
        <v>2300.5788786514067</v>
      </c>
      <c r="AK21" s="477">
        <f t="shared" si="27"/>
        <v>6520.2544546819272</v>
      </c>
      <c r="AL21" s="478">
        <f>AI21*5</f>
        <v>1643.2706276081476</v>
      </c>
      <c r="AM21" s="478">
        <f t="shared" si="28"/>
        <v>314.92025854015714</v>
      </c>
      <c r="AN21" s="478">
        <f t="shared" si="28"/>
        <v>314.92025854015714</v>
      </c>
      <c r="AO21" s="478">
        <f t="shared" si="28"/>
        <v>314.92025854015714</v>
      </c>
      <c r="AP21" s="478">
        <f t="shared" si="28"/>
        <v>314.92025854015714</v>
      </c>
      <c r="AQ21" s="478">
        <f t="shared" si="28"/>
        <v>314.92025854015714</v>
      </c>
      <c r="AR21" s="478">
        <f t="shared" si="28"/>
        <v>314.92025854015714</v>
      </c>
      <c r="AS21" s="478">
        <f t="shared" si="28"/>
        <v>314.92025854015714</v>
      </c>
      <c r="AT21" s="478">
        <f>SUM(AL21:AS21)</f>
        <v>3847.712437389248</v>
      </c>
      <c r="AU21" s="477">
        <f>AK21-AT21</f>
        <v>2672.5420172926792</v>
      </c>
    </row>
    <row r="22" spans="1:47" x14ac:dyDescent="0.2">
      <c r="A22" s="171" t="s">
        <v>1127</v>
      </c>
      <c r="B22" s="145" t="s">
        <v>1025</v>
      </c>
      <c r="C22" s="245"/>
      <c r="D22" s="251">
        <v>5</v>
      </c>
      <c r="E22" s="489">
        <v>0.2</v>
      </c>
      <c r="F22" s="488">
        <v>37211</v>
      </c>
      <c r="G22" s="487">
        <v>274500</v>
      </c>
      <c r="H22" s="251">
        <f>((2013-YEAR(F22))*12+MONTH(F22))</f>
        <v>155</v>
      </c>
      <c r="I22" s="486">
        <f>D22*12</f>
        <v>60</v>
      </c>
      <c r="J22" s="485">
        <f>I22-H22</f>
        <v>-95</v>
      </c>
      <c r="K22" s="484">
        <f>((G22*E22)/12)*H22</f>
        <v>709125</v>
      </c>
      <c r="L22" s="483">
        <f>G22-K22</f>
        <v>-434625</v>
      </c>
      <c r="M22" s="482">
        <v>115.958</v>
      </c>
      <c r="N22" s="480">
        <v>97.22</v>
      </c>
      <c r="O22" s="482">
        <f>M22/N22</f>
        <v>1.192738119728451</v>
      </c>
      <c r="P22" s="478">
        <f>L22*O22</f>
        <v>-518393.80528697802</v>
      </c>
      <c r="Q22" s="481">
        <f>D22*12</f>
        <v>60</v>
      </c>
      <c r="R22" s="478">
        <f>G22/Q22*S22</f>
        <v>137250</v>
      </c>
      <c r="S22" s="481">
        <f>30</f>
        <v>30</v>
      </c>
      <c r="T22" s="478">
        <f t="shared" si="22"/>
        <v>4575</v>
      </c>
      <c r="U22" s="478">
        <f t="shared" si="22"/>
        <v>4575</v>
      </c>
      <c r="V22" s="478">
        <f t="shared" si="22"/>
        <v>4575</v>
      </c>
      <c r="W22" s="478">
        <f t="shared" si="22"/>
        <v>4575</v>
      </c>
      <c r="X22" s="478">
        <f t="shared" si="22"/>
        <v>4575</v>
      </c>
      <c r="Y22" s="478">
        <f t="shared" si="23"/>
        <v>22875</v>
      </c>
      <c r="Z22" s="479">
        <v>112.72199999999999</v>
      </c>
      <c r="AA22" s="480">
        <v>97.22</v>
      </c>
      <c r="AB22" s="478">
        <f t="shared" si="24"/>
        <v>1.1594527874922855</v>
      </c>
      <c r="AC22" s="478">
        <f t="shared" si="25"/>
        <v>5304.4965027772059</v>
      </c>
      <c r="AD22" s="478">
        <f t="shared" si="25"/>
        <v>5304.4965027772059</v>
      </c>
      <c r="AE22" s="478">
        <f t="shared" si="25"/>
        <v>5304.4965027772059</v>
      </c>
      <c r="AF22" s="478">
        <f t="shared" si="25"/>
        <v>5304.4965027772059</v>
      </c>
      <c r="AG22" s="478">
        <f t="shared" si="25"/>
        <v>5304.4965027772059</v>
      </c>
      <c r="AH22" s="478">
        <f t="shared" si="25"/>
        <v>5304.4965027772059</v>
      </c>
      <c r="AI22" s="478">
        <f t="shared" si="25"/>
        <v>5304.4965027772059</v>
      </c>
      <c r="AJ22" s="478">
        <f t="shared" si="26"/>
        <v>37131.475519440442</v>
      </c>
      <c r="AK22" s="477">
        <f t="shared" si="27"/>
        <v>77243.524480559558</v>
      </c>
      <c r="AL22" s="478">
        <f>AI22*5</f>
        <v>26522.482513886029</v>
      </c>
      <c r="AM22" s="478">
        <f t="shared" si="28"/>
        <v>6326.8751848286283</v>
      </c>
      <c r="AN22" s="478">
        <f t="shared" si="28"/>
        <v>6326.8751848286283</v>
      </c>
      <c r="AO22" s="478">
        <f t="shared" si="28"/>
        <v>6326.8751848286283</v>
      </c>
      <c r="AP22" s="478">
        <f t="shared" si="28"/>
        <v>6326.8751848286283</v>
      </c>
      <c r="AQ22" s="478">
        <f t="shared" si="28"/>
        <v>6326.8751848286283</v>
      </c>
      <c r="AR22" s="478">
        <f t="shared" si="28"/>
        <v>6326.8751848286283</v>
      </c>
      <c r="AS22" s="478">
        <f t="shared" si="28"/>
        <v>6326.8751848286283</v>
      </c>
      <c r="AT22" s="478">
        <f>SUM(AL22:AS22)</f>
        <v>70810.608807686425</v>
      </c>
      <c r="AU22" s="477">
        <f>AK22-AT22</f>
        <v>6432.9156728731323</v>
      </c>
    </row>
    <row r="23" spans="1:47" x14ac:dyDescent="0.2">
      <c r="A23" s="171" t="s">
        <v>1009</v>
      </c>
      <c r="B23" s="145" t="s">
        <v>1008</v>
      </c>
      <c r="C23" s="245"/>
      <c r="D23" s="251">
        <v>5</v>
      </c>
      <c r="E23" s="489">
        <v>0.2</v>
      </c>
      <c r="F23" s="488">
        <v>37748</v>
      </c>
      <c r="G23" s="487">
        <v>80000</v>
      </c>
      <c r="H23" s="251">
        <f>((2013-YEAR(F23))*12+MONTH(F23))</f>
        <v>125</v>
      </c>
      <c r="I23" s="486">
        <f>D23*12</f>
        <v>60</v>
      </c>
      <c r="J23" s="485">
        <f>I23-H23</f>
        <v>-65</v>
      </c>
      <c r="K23" s="484">
        <f>((G23*E23)/12)*H23</f>
        <v>166666.66666666666</v>
      </c>
      <c r="L23" s="483">
        <f>G23-K23</f>
        <v>-86666.666666666657</v>
      </c>
      <c r="M23" s="482">
        <v>115.958</v>
      </c>
      <c r="N23" s="480">
        <v>104.102</v>
      </c>
      <c r="O23" s="482">
        <f>M23/N23</f>
        <v>1.1138883018577932</v>
      </c>
      <c r="P23" s="478">
        <f>L23*O23</f>
        <v>-96536.986161008739</v>
      </c>
      <c r="Q23" s="481">
        <f>D23*12</f>
        <v>60</v>
      </c>
      <c r="R23" s="478">
        <f>G23/Q23*S23</f>
        <v>40000</v>
      </c>
      <c r="S23" s="481">
        <f>30</f>
        <v>30</v>
      </c>
      <c r="T23" s="478">
        <f t="shared" si="22"/>
        <v>1333.3333333333333</v>
      </c>
      <c r="U23" s="478">
        <f t="shared" si="22"/>
        <v>1333.3333333333333</v>
      </c>
      <c r="V23" s="478">
        <f t="shared" si="22"/>
        <v>1333.3333333333333</v>
      </c>
      <c r="W23" s="478">
        <f t="shared" si="22"/>
        <v>1333.3333333333333</v>
      </c>
      <c r="X23" s="478">
        <f t="shared" si="22"/>
        <v>1333.3333333333333</v>
      </c>
      <c r="Y23" s="478">
        <f t="shared" si="23"/>
        <v>6666.6666666666661</v>
      </c>
      <c r="Z23" s="479">
        <v>112.72199999999999</v>
      </c>
      <c r="AA23" s="480">
        <v>104.102</v>
      </c>
      <c r="AB23" s="478">
        <f t="shared" si="24"/>
        <v>1.0828034043534225</v>
      </c>
      <c r="AC23" s="478">
        <f t="shared" si="25"/>
        <v>1443.7378724712298</v>
      </c>
      <c r="AD23" s="478">
        <f t="shared" si="25"/>
        <v>1443.7378724712298</v>
      </c>
      <c r="AE23" s="478">
        <f t="shared" si="25"/>
        <v>1443.7378724712298</v>
      </c>
      <c r="AF23" s="478">
        <f t="shared" si="25"/>
        <v>1443.7378724712298</v>
      </c>
      <c r="AG23" s="478">
        <f t="shared" si="25"/>
        <v>1443.7378724712298</v>
      </c>
      <c r="AH23" s="478">
        <f t="shared" si="25"/>
        <v>1443.7378724712298</v>
      </c>
      <c r="AI23" s="478">
        <f t="shared" si="25"/>
        <v>1443.7378724712298</v>
      </c>
      <c r="AJ23" s="478">
        <f t="shared" si="26"/>
        <v>10106.16510729861</v>
      </c>
      <c r="AK23" s="477">
        <f t="shared" si="27"/>
        <v>23227.168226034726</v>
      </c>
      <c r="AL23" s="478">
        <f>AI23*5</f>
        <v>7218.6893623561491</v>
      </c>
      <c r="AM23" s="478">
        <f t="shared" si="28"/>
        <v>1608.1627270947613</v>
      </c>
      <c r="AN23" s="478">
        <f t="shared" si="28"/>
        <v>1608.1627270947613</v>
      </c>
      <c r="AO23" s="478">
        <f t="shared" si="28"/>
        <v>1608.1627270947613</v>
      </c>
      <c r="AP23" s="478">
        <f t="shared" si="28"/>
        <v>1608.1627270947613</v>
      </c>
      <c r="AQ23" s="478">
        <f t="shared" si="28"/>
        <v>1608.1627270947613</v>
      </c>
      <c r="AR23" s="478">
        <f t="shared" si="28"/>
        <v>1608.1627270947613</v>
      </c>
      <c r="AS23" s="478">
        <f t="shared" si="28"/>
        <v>1608.1627270947613</v>
      </c>
      <c r="AT23" s="478">
        <f>SUM(AL23:AS23)</f>
        <v>18475.828452019479</v>
      </c>
      <c r="AU23" s="477">
        <f>AK23-AT23</f>
        <v>4751.3397740152468</v>
      </c>
    </row>
    <row r="24" spans="1:47" hidden="1" x14ac:dyDescent="0.2">
      <c r="A24" s="171"/>
      <c r="B24" s="145"/>
      <c r="C24" s="245"/>
      <c r="D24" s="251"/>
      <c r="E24" s="489"/>
      <c r="F24" s="488"/>
      <c r="G24" s="487"/>
      <c r="H24" s="251"/>
      <c r="I24" s="486"/>
      <c r="J24" s="485"/>
      <c r="K24" s="484"/>
      <c r="L24" s="483"/>
      <c r="M24" s="482"/>
      <c r="N24" s="480"/>
      <c r="O24" s="482"/>
      <c r="P24" s="478"/>
      <c r="Q24" s="481"/>
      <c r="R24" s="478"/>
      <c r="S24" s="481"/>
      <c r="T24" s="478"/>
      <c r="U24" s="478"/>
      <c r="V24" s="478"/>
      <c r="W24" s="478"/>
      <c r="X24" s="478"/>
      <c r="Y24" s="478">
        <f t="shared" si="23"/>
        <v>0</v>
      </c>
      <c r="Z24" s="479">
        <v>112.72199999999999</v>
      </c>
      <c r="AA24" s="480"/>
      <c r="AB24" s="478" t="e">
        <f t="shared" si="24"/>
        <v>#DIV/0!</v>
      </c>
      <c r="AC24" s="478" t="e">
        <f t="shared" si="25"/>
        <v>#DIV/0!</v>
      </c>
      <c r="AD24" s="478" t="e">
        <f t="shared" si="25"/>
        <v>#DIV/0!</v>
      </c>
      <c r="AE24" s="478" t="e">
        <f t="shared" si="25"/>
        <v>#DIV/0!</v>
      </c>
      <c r="AF24" s="478" t="e">
        <f t="shared" si="25"/>
        <v>#DIV/0!</v>
      </c>
      <c r="AG24" s="478" t="e">
        <f t="shared" si="25"/>
        <v>#DIV/0!</v>
      </c>
      <c r="AH24" s="478" t="e">
        <f t="shared" si="25"/>
        <v>#DIV/0!</v>
      </c>
      <c r="AI24" s="478" t="e">
        <f t="shared" si="25"/>
        <v>#DIV/0!</v>
      </c>
      <c r="AJ24" s="478" t="e">
        <f t="shared" si="26"/>
        <v>#DIV/0!</v>
      </c>
      <c r="AK24" s="477" t="e">
        <f t="shared" si="27"/>
        <v>#DIV/0!</v>
      </c>
      <c r="AL24" s="478"/>
      <c r="AM24" s="478"/>
      <c r="AN24" s="478"/>
      <c r="AO24" s="478"/>
      <c r="AP24" s="478"/>
      <c r="AQ24" s="478"/>
      <c r="AR24" s="478"/>
      <c r="AS24" s="478"/>
      <c r="AT24" s="478"/>
      <c r="AU24" s="477"/>
    </row>
    <row r="25" spans="1:47" x14ac:dyDescent="0.2">
      <c r="A25" s="171" t="s">
        <v>1016</v>
      </c>
      <c r="B25" s="145" t="s">
        <v>1015</v>
      </c>
      <c r="C25" s="245"/>
      <c r="D25" s="251">
        <v>5</v>
      </c>
      <c r="E25" s="489">
        <v>0.2</v>
      </c>
      <c r="F25" s="488">
        <v>39790</v>
      </c>
      <c r="G25" s="487">
        <v>152696</v>
      </c>
      <c r="H25" s="251">
        <f>((2013-YEAR(F25))*12+MONTH(F25))</f>
        <v>72</v>
      </c>
      <c r="I25" s="486">
        <f>D25*12</f>
        <v>60</v>
      </c>
      <c r="J25" s="485">
        <f>I25-H25</f>
        <v>-12</v>
      </c>
      <c r="K25" s="484">
        <f>((G25*E25)/12)*H25</f>
        <v>183235.20000000001</v>
      </c>
      <c r="L25" s="483">
        <f>G25-K25</f>
        <v>-30539.200000000012</v>
      </c>
      <c r="M25" s="482">
        <v>115.958</v>
      </c>
      <c r="N25" s="480">
        <v>133.761</v>
      </c>
      <c r="O25" s="482">
        <f>M25/N25</f>
        <v>0.86690440412377301</v>
      </c>
      <c r="P25" s="478">
        <f>L25*O25</f>
        <v>-26474.56697841674</v>
      </c>
      <c r="Q25" s="481">
        <f>D25*12</f>
        <v>60</v>
      </c>
      <c r="R25" s="478">
        <f>G25/Q25*S25</f>
        <v>76348</v>
      </c>
      <c r="S25" s="481">
        <f>30</f>
        <v>30</v>
      </c>
      <c r="T25" s="478">
        <f t="shared" ref="T25:X26" si="29">$R25/$S25</f>
        <v>2544.9333333333334</v>
      </c>
      <c r="U25" s="478">
        <f t="shared" si="29"/>
        <v>2544.9333333333334</v>
      </c>
      <c r="V25" s="478">
        <f t="shared" si="29"/>
        <v>2544.9333333333334</v>
      </c>
      <c r="W25" s="478">
        <f t="shared" si="29"/>
        <v>2544.9333333333334</v>
      </c>
      <c r="X25" s="478">
        <f t="shared" si="29"/>
        <v>2544.9333333333334</v>
      </c>
      <c r="Y25" s="478">
        <f t="shared" si="23"/>
        <v>12724.666666666668</v>
      </c>
      <c r="Z25" s="479">
        <v>112.72199999999999</v>
      </c>
      <c r="AA25" s="480">
        <v>133.761</v>
      </c>
      <c r="AB25" s="478">
        <f t="shared" si="24"/>
        <v>0.84271200125597145</v>
      </c>
      <c r="AC25" s="478">
        <f t="shared" si="25"/>
        <v>2144.6458623963636</v>
      </c>
      <c r="AD25" s="478">
        <f t="shared" si="25"/>
        <v>2144.6458623963636</v>
      </c>
      <c r="AE25" s="478">
        <f t="shared" si="25"/>
        <v>2144.6458623963636</v>
      </c>
      <c r="AF25" s="478">
        <f t="shared" si="25"/>
        <v>2144.6458623963636</v>
      </c>
      <c r="AG25" s="478">
        <f t="shared" si="25"/>
        <v>2144.6458623963636</v>
      </c>
      <c r="AH25" s="478">
        <f t="shared" si="25"/>
        <v>2144.6458623963636</v>
      </c>
      <c r="AI25" s="478">
        <f t="shared" si="25"/>
        <v>2144.6458623963636</v>
      </c>
      <c r="AJ25" s="478">
        <f t="shared" si="26"/>
        <v>15012.521036774542</v>
      </c>
      <c r="AK25" s="477">
        <f t="shared" si="27"/>
        <v>48610.812296558783</v>
      </c>
      <c r="AL25" s="478">
        <f>AI25*5</f>
        <v>10723.229311981817</v>
      </c>
      <c r="AM25" s="478">
        <f t="shared" ref="AM25:AS26" si="30">$AI25*$O25</f>
        <v>1859.2029433972348</v>
      </c>
      <c r="AN25" s="478">
        <f t="shared" si="30"/>
        <v>1859.2029433972348</v>
      </c>
      <c r="AO25" s="478">
        <f t="shared" si="30"/>
        <v>1859.2029433972348</v>
      </c>
      <c r="AP25" s="478">
        <f t="shared" si="30"/>
        <v>1859.2029433972348</v>
      </c>
      <c r="AQ25" s="478">
        <f t="shared" si="30"/>
        <v>1859.2029433972348</v>
      </c>
      <c r="AR25" s="478">
        <f t="shared" si="30"/>
        <v>1859.2029433972348</v>
      </c>
      <c r="AS25" s="478">
        <f t="shared" si="30"/>
        <v>1859.2029433972348</v>
      </c>
      <c r="AT25" s="478">
        <f>SUM(AL25:AS25)</f>
        <v>23737.64991576246</v>
      </c>
      <c r="AU25" s="477">
        <f>AK25-AT25</f>
        <v>24873.162380796322</v>
      </c>
    </row>
    <row r="26" spans="1:47" hidden="1" x14ac:dyDescent="0.2">
      <c r="A26" s="490">
        <v>12</v>
      </c>
      <c r="B26" s="244" t="s">
        <v>1005</v>
      </c>
      <c r="C26" s="245"/>
      <c r="D26" s="251">
        <v>5</v>
      </c>
      <c r="E26" s="489">
        <v>0.2</v>
      </c>
      <c r="F26" s="488">
        <v>39924</v>
      </c>
      <c r="G26" s="487">
        <v>700000</v>
      </c>
      <c r="H26" s="251">
        <f>((2013-YEAR(F26))*12+MONTH(F26))</f>
        <v>52</v>
      </c>
      <c r="I26" s="486">
        <f>D26*12</f>
        <v>60</v>
      </c>
      <c r="J26" s="485">
        <f>I26-H26</f>
        <v>8</v>
      </c>
      <c r="K26" s="484">
        <f>((G26*E26)/12)*H26</f>
        <v>606666.66666666663</v>
      </c>
      <c r="L26" s="483">
        <f>G26-K26</f>
        <v>93333.333333333372</v>
      </c>
      <c r="M26" s="482">
        <v>115.958</v>
      </c>
      <c r="N26" s="480">
        <v>135.613</v>
      </c>
      <c r="O26" s="482">
        <f>M26/N26</f>
        <v>0.85506551731766123</v>
      </c>
      <c r="P26" s="478">
        <f>L26*O26</f>
        <v>79806.114949648414</v>
      </c>
      <c r="Q26" s="481">
        <f>D26*12</f>
        <v>60</v>
      </c>
      <c r="R26" s="478">
        <f>G26/Q26*S26</f>
        <v>350000</v>
      </c>
      <c r="S26" s="481">
        <f>30</f>
        <v>30</v>
      </c>
      <c r="T26" s="478">
        <f t="shared" si="29"/>
        <v>11666.666666666666</v>
      </c>
      <c r="U26" s="478">
        <f t="shared" si="29"/>
        <v>11666.666666666666</v>
      </c>
      <c r="V26" s="478">
        <f t="shared" si="29"/>
        <v>11666.666666666666</v>
      </c>
      <c r="W26" s="478">
        <f t="shared" si="29"/>
        <v>11666.666666666666</v>
      </c>
      <c r="X26" s="478">
        <f t="shared" si="29"/>
        <v>11666.666666666666</v>
      </c>
      <c r="Y26" s="478">
        <f t="shared" si="23"/>
        <v>58333.333333333328</v>
      </c>
      <c r="Z26" s="479">
        <v>112.72199999999999</v>
      </c>
      <c r="AA26" s="480">
        <v>135.613</v>
      </c>
      <c r="AB26" s="478">
        <f t="shared" si="24"/>
        <v>0.83120349818970152</v>
      </c>
      <c r="AC26" s="478">
        <f>($R26/$S26)*$AB26</f>
        <v>9697.374145546517</v>
      </c>
      <c r="AD26" s="478">
        <f>($R26/$S26)*$AB26</f>
        <v>9697.374145546517</v>
      </c>
      <c r="AE26" s="478">
        <f>$R26/$S26</f>
        <v>11666.666666666666</v>
      </c>
      <c r="AF26" s="478">
        <f>$R26/$S26</f>
        <v>11666.666666666666</v>
      </c>
      <c r="AG26" s="478">
        <f>$R26/$S26</f>
        <v>11666.666666666666</v>
      </c>
      <c r="AH26" s="478">
        <f>$R26/$S26</f>
        <v>11666.666666666666</v>
      </c>
      <c r="AI26" s="478">
        <f>$R26/$S26</f>
        <v>11666.666666666666</v>
      </c>
      <c r="AJ26" s="478">
        <f t="shared" si="26"/>
        <v>77728.08162442637</v>
      </c>
      <c r="AK26" s="477">
        <f t="shared" si="27"/>
        <v>213938.58504224033</v>
      </c>
      <c r="AL26" s="478">
        <f>AI26*5</f>
        <v>58333.333333333328</v>
      </c>
      <c r="AM26" s="478">
        <f t="shared" si="30"/>
        <v>9975.7643687060463</v>
      </c>
      <c r="AN26" s="478">
        <f t="shared" si="30"/>
        <v>9975.7643687060463</v>
      </c>
      <c r="AO26" s="478">
        <f t="shared" si="30"/>
        <v>9975.7643687060463</v>
      </c>
      <c r="AP26" s="478">
        <f t="shared" si="30"/>
        <v>9975.7643687060463</v>
      </c>
      <c r="AQ26" s="478">
        <f t="shared" si="30"/>
        <v>9975.7643687060463</v>
      </c>
      <c r="AR26" s="478">
        <f t="shared" si="30"/>
        <v>9975.7643687060463</v>
      </c>
      <c r="AS26" s="478">
        <f t="shared" si="30"/>
        <v>9975.7643687060463</v>
      </c>
      <c r="AT26" s="478">
        <f>SUM(AL26:AS26)</f>
        <v>128163.68391427567</v>
      </c>
      <c r="AU26" s="477">
        <f>AK26-AT26</f>
        <v>85774.901127964666</v>
      </c>
    </row>
    <row r="27" spans="1:47" x14ac:dyDescent="0.2">
      <c r="A27" s="145"/>
      <c r="B27" s="145"/>
      <c r="C27" s="87"/>
      <c r="D27" s="101"/>
      <c r="E27" s="91"/>
      <c r="F27" s="88"/>
      <c r="G27" s="90"/>
      <c r="H27" s="201"/>
      <c r="I27" s="233"/>
      <c r="J27" s="233"/>
      <c r="K27" s="233"/>
      <c r="L27" s="90"/>
      <c r="M27" s="233"/>
      <c r="N27" s="90"/>
      <c r="O27" s="233"/>
      <c r="P27" s="90"/>
      <c r="Q27" s="88"/>
      <c r="R27" s="88"/>
      <c r="S27" s="88"/>
      <c r="T27" s="89"/>
      <c r="U27" s="89"/>
      <c r="V27" s="152"/>
      <c r="W27" s="233"/>
      <c r="X27" s="100"/>
      <c r="Y27" s="100"/>
      <c r="Z27" s="479"/>
      <c r="AA27" s="90"/>
      <c r="AB27" s="478"/>
      <c r="AC27" s="478"/>
      <c r="AD27" s="478"/>
      <c r="AE27" s="472"/>
      <c r="AF27" s="98"/>
      <c r="AG27" s="98"/>
      <c r="AH27" s="98"/>
      <c r="AI27" s="98"/>
      <c r="AJ27" s="478"/>
      <c r="AK27" s="477"/>
      <c r="AL27" s="98"/>
      <c r="AM27" s="98"/>
      <c r="AN27" s="98"/>
      <c r="AO27" s="98"/>
      <c r="AP27" s="98"/>
      <c r="AQ27" s="98"/>
      <c r="AR27" s="98"/>
      <c r="AS27" s="98"/>
      <c r="AT27" s="116"/>
      <c r="AU27" s="116"/>
    </row>
    <row r="28" spans="1:47" x14ac:dyDescent="0.2">
      <c r="AS28" s="527">
        <f>SUM(AS16:AS27)</f>
        <v>45850.349081132772</v>
      </c>
      <c r="AT28" s="17">
        <f>SUM(AT16:AT27)</f>
        <v>535258.38442780171</v>
      </c>
      <c r="AU28" s="17">
        <f>SUM(AU16:AU27)</f>
        <v>164087.14174395055</v>
      </c>
    </row>
  </sheetData>
  <sortState ref="A20:AV27">
    <sortCondition ref="A19"/>
  </sortState>
  <mergeCells count="8">
    <mergeCell ref="Q8:S10"/>
    <mergeCell ref="K11:K12"/>
    <mergeCell ref="A11:A12"/>
    <mergeCell ref="B11:B12"/>
    <mergeCell ref="E11:E12"/>
    <mergeCell ref="F11:F12"/>
    <mergeCell ref="G11:G12"/>
    <mergeCell ref="H11:H12"/>
  </mergeCells>
  <pageMargins left="0.59055118110236227" right="0.19685039370078741" top="0.39370078740157483" bottom="0.39370078740157483" header="0.31496062992125984" footer="0.31496062992125984"/>
  <pageSetup paperSize="5" scale="54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25"/>
  <sheetViews>
    <sheetView zoomScale="175" zoomScaleNormal="175" workbookViewId="0">
      <selection activeCell="B14" sqref="B14"/>
    </sheetView>
  </sheetViews>
  <sheetFormatPr baseColWidth="10" defaultRowHeight="12.75" x14ac:dyDescent="0.2"/>
  <cols>
    <col min="2" max="2" width="27.140625" customWidth="1"/>
    <col min="3" max="3" width="7.42578125" customWidth="1"/>
    <col min="4" max="4" width="6.42578125" bestFit="1" customWidth="1"/>
    <col min="5" max="5" width="11.28515625" bestFit="1" customWidth="1"/>
    <col min="6" max="6" width="8" customWidth="1"/>
    <col min="7" max="7" width="10.140625" hidden="1" customWidth="1"/>
    <col min="8" max="8" width="9.140625" hidden="1" customWidth="1"/>
    <col min="9" max="9" width="6.5703125" hidden="1" customWidth="1"/>
    <col min="10" max="10" width="7.42578125" hidden="1" customWidth="1"/>
    <col min="11" max="11" width="8.5703125" hidden="1" customWidth="1"/>
    <col min="12" max="12" width="8.140625" hidden="1" customWidth="1"/>
    <col min="13" max="13" width="8.5703125" hidden="1" customWidth="1"/>
    <col min="14" max="14" width="9.5703125" hidden="1" customWidth="1"/>
    <col min="15" max="15" width="10" hidden="1" customWidth="1"/>
    <col min="16" max="16" width="9" bestFit="1" customWidth="1"/>
    <col min="17" max="17" width="11.42578125" hidden="1" customWidth="1"/>
    <col min="18" max="18" width="10.140625" bestFit="1" customWidth="1"/>
    <col min="19" max="19" width="11.42578125" customWidth="1"/>
    <col min="20" max="20" width="11.42578125" hidden="1" customWidth="1"/>
    <col min="21" max="24" width="11.42578125" customWidth="1"/>
    <col min="25" max="27" width="11.42578125" hidden="1" customWidth="1"/>
    <col min="28" max="29" width="11.42578125" customWidth="1"/>
    <col min="30" max="41" width="11.42578125" hidden="1" customWidth="1"/>
    <col min="42" max="43" width="11.42578125" customWidth="1"/>
    <col min="44" max="48" width="11.42578125" hidden="1" customWidth="1"/>
    <col min="49" max="51" width="11.42578125" customWidth="1"/>
    <col min="52" max="57" width="11.42578125" hidden="1" customWidth="1"/>
    <col min="58" max="58" width="11.42578125" customWidth="1"/>
    <col min="59" max="59" width="11.7109375" bestFit="1" customWidth="1"/>
    <col min="60" max="60" width="12.5703125" bestFit="1" customWidth="1"/>
  </cols>
  <sheetData>
    <row r="1" spans="1:60" x14ac:dyDescent="0.2">
      <c r="A1" s="137"/>
      <c r="B1" s="142" t="s">
        <v>29</v>
      </c>
      <c r="C1" s="138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6"/>
      <c r="R1" s="136"/>
      <c r="S1" s="137"/>
      <c r="T1" s="137"/>
      <c r="U1" s="147"/>
      <c r="V1" s="139"/>
      <c r="W1" s="139"/>
      <c r="X1" s="140"/>
      <c r="Y1" s="139"/>
      <c r="Z1" s="139"/>
      <c r="AA1" s="139"/>
      <c r="AB1" s="139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9" t="s">
        <v>454</v>
      </c>
      <c r="AN1" s="137"/>
      <c r="AO1" s="1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</row>
    <row r="2" spans="1:60" x14ac:dyDescent="0.2">
      <c r="A2" s="137"/>
      <c r="B2" s="142" t="s">
        <v>612</v>
      </c>
      <c r="C2" s="138"/>
      <c r="D2" s="138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6"/>
      <c r="R2" s="136"/>
      <c r="S2" s="137"/>
      <c r="T2" s="137"/>
      <c r="U2" s="147"/>
      <c r="V2" s="139"/>
      <c r="W2" s="139"/>
      <c r="X2" s="140"/>
      <c r="Y2" s="139"/>
      <c r="Z2" s="139"/>
      <c r="AA2" s="139"/>
      <c r="AB2" s="139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41"/>
      <c r="AP2" s="541"/>
      <c r="AQ2" s="541"/>
      <c r="AR2" s="541"/>
      <c r="AS2" s="541"/>
      <c r="AT2" s="541"/>
      <c r="AU2" s="541"/>
      <c r="AV2" s="541"/>
      <c r="AW2" s="541"/>
      <c r="AX2" s="541"/>
      <c r="AY2" s="541"/>
      <c r="AZ2" s="541"/>
      <c r="BA2" s="541"/>
      <c r="BB2" s="541"/>
      <c r="BC2" s="541"/>
      <c r="BD2" s="541"/>
      <c r="BE2" s="541"/>
      <c r="BF2" s="541"/>
      <c r="BG2" s="541"/>
      <c r="BH2" s="541"/>
    </row>
    <row r="3" spans="1:60" x14ac:dyDescent="0.2">
      <c r="A3" s="137"/>
      <c r="B3" s="137"/>
      <c r="C3" s="143"/>
      <c r="D3" s="13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2"/>
      <c r="R3" s="142"/>
      <c r="S3" s="144"/>
      <c r="T3" s="144"/>
      <c r="U3" s="148"/>
      <c r="V3" s="139"/>
      <c r="W3" s="139"/>
      <c r="X3" s="140"/>
      <c r="Y3" s="139"/>
      <c r="Z3" s="139"/>
      <c r="AA3" s="139"/>
      <c r="AB3" s="139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41"/>
      <c r="AP3" s="541"/>
      <c r="AQ3" s="541"/>
      <c r="AR3" s="541"/>
      <c r="AS3" s="541"/>
      <c r="AT3" s="541"/>
      <c r="AU3" s="541"/>
      <c r="AV3" s="541"/>
      <c r="AW3" s="541"/>
      <c r="AX3" s="541"/>
      <c r="AY3" s="541"/>
      <c r="AZ3" s="541"/>
      <c r="BA3" s="541"/>
      <c r="BB3" s="541"/>
      <c r="BC3" s="541"/>
      <c r="BD3" s="541"/>
      <c r="BE3" s="541"/>
      <c r="BF3" s="541"/>
      <c r="BG3" s="541"/>
      <c r="BH3" s="541"/>
    </row>
    <row r="4" spans="1:60" x14ac:dyDescent="0.2">
      <c r="A4" s="137"/>
      <c r="B4" s="137" t="s">
        <v>452</v>
      </c>
      <c r="C4" s="143"/>
      <c r="D4" s="138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2"/>
      <c r="R4" s="142"/>
      <c r="S4" s="144"/>
      <c r="T4" s="144"/>
      <c r="U4" s="148"/>
      <c r="V4" s="139"/>
      <c r="W4" s="139"/>
      <c r="X4" s="140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</row>
    <row r="5" spans="1:60" x14ac:dyDescent="0.2">
      <c r="A5" s="137"/>
      <c r="B5" s="144" t="s">
        <v>479</v>
      </c>
      <c r="C5" s="138"/>
      <c r="D5" s="138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6"/>
      <c r="R5" s="136"/>
      <c r="S5" s="137"/>
      <c r="T5" s="137"/>
      <c r="U5" s="147"/>
      <c r="V5" s="139"/>
      <c r="W5" s="139"/>
      <c r="X5" s="140"/>
      <c r="Y5" s="139"/>
      <c r="Z5" s="139"/>
      <c r="AA5" s="139"/>
      <c r="AB5" s="139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41"/>
      <c r="AP5" s="541"/>
      <c r="AQ5" s="541"/>
      <c r="AR5" s="541"/>
      <c r="AS5" s="541"/>
      <c r="AT5" s="541"/>
      <c r="AU5" s="541"/>
      <c r="AV5" s="541"/>
      <c r="AW5" s="541"/>
      <c r="AX5" s="541"/>
      <c r="AY5" s="541"/>
      <c r="AZ5" s="541"/>
      <c r="BA5" s="541"/>
      <c r="BB5" s="541"/>
      <c r="BC5" s="541"/>
      <c r="BD5" s="541"/>
      <c r="BE5" s="541"/>
      <c r="BF5" s="541"/>
      <c r="BG5" s="541"/>
      <c r="BH5" s="541"/>
    </row>
    <row r="6" spans="1:60" x14ac:dyDescent="0.2">
      <c r="A6" s="137"/>
      <c r="B6" s="137" t="s">
        <v>858</v>
      </c>
      <c r="C6" s="138"/>
      <c r="D6" s="138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6"/>
      <c r="R6" s="136"/>
      <c r="S6" s="137"/>
      <c r="T6" s="137"/>
      <c r="U6" s="147"/>
      <c r="V6" s="139"/>
      <c r="W6" s="139"/>
      <c r="X6" s="140"/>
      <c r="Y6" s="139"/>
      <c r="Z6" s="139"/>
      <c r="AA6" s="139"/>
      <c r="AB6" s="139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41"/>
      <c r="AP6" s="541"/>
      <c r="AQ6" s="541"/>
      <c r="AR6" s="541"/>
      <c r="AS6" s="541"/>
      <c r="AT6" s="541"/>
      <c r="AU6" s="541"/>
      <c r="AV6" s="541"/>
      <c r="AW6" s="541"/>
      <c r="AX6" s="541"/>
      <c r="AY6" s="541"/>
      <c r="AZ6" s="541"/>
      <c r="BA6" s="541"/>
      <c r="BB6" s="541"/>
      <c r="BC6" s="541"/>
      <c r="BD6" s="541"/>
      <c r="BE6" s="541"/>
      <c r="BF6" s="541"/>
      <c r="BG6" s="541"/>
      <c r="BH6" s="541"/>
    </row>
    <row r="7" spans="1:60" x14ac:dyDescent="0.2">
      <c r="A7" s="137"/>
      <c r="B7" s="137"/>
      <c r="C7" s="138"/>
      <c r="D7" s="138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6"/>
      <c r="R7" s="136"/>
      <c r="S7" s="137"/>
      <c r="T7" s="137"/>
      <c r="U7" s="147"/>
      <c r="V7" s="139"/>
      <c r="W7" s="139"/>
      <c r="X7" s="140"/>
      <c r="Y7" s="139"/>
      <c r="Z7" s="139"/>
      <c r="AA7" s="139"/>
      <c r="AB7" s="139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41"/>
      <c r="AP7" s="541"/>
      <c r="AQ7" s="541"/>
      <c r="AR7" s="541"/>
      <c r="AS7" s="541"/>
      <c r="AT7" s="541"/>
      <c r="AU7" s="541"/>
      <c r="AV7" s="541"/>
      <c r="AW7" s="541"/>
      <c r="AX7" s="541"/>
      <c r="AY7" s="541"/>
      <c r="AZ7" s="541"/>
      <c r="BA7" s="541"/>
      <c r="BB7" s="541"/>
      <c r="BC7" s="541"/>
      <c r="BD7" s="541"/>
      <c r="BE7" s="541"/>
      <c r="BF7" s="541"/>
      <c r="BG7" s="541"/>
      <c r="BH7" s="541"/>
    </row>
    <row r="8" spans="1:60" x14ac:dyDescent="0.2">
      <c r="A8" s="22"/>
      <c r="B8" s="22"/>
      <c r="C8" s="80"/>
      <c r="D8" s="80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79"/>
      <c r="R8" s="79"/>
      <c r="S8" s="56"/>
      <c r="T8" s="56"/>
      <c r="U8" s="149"/>
      <c r="V8" s="81"/>
      <c r="W8" s="81"/>
      <c r="X8" s="120"/>
      <c r="Y8" s="81"/>
      <c r="Z8" s="81"/>
      <c r="AA8" s="81"/>
      <c r="AB8" s="81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112"/>
    </row>
    <row r="9" spans="1:60" x14ac:dyDescent="0.2">
      <c r="A9" s="22"/>
      <c r="B9" s="22"/>
      <c r="C9" s="80"/>
      <c r="D9" s="80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79"/>
      <c r="R9" s="79"/>
      <c r="S9" s="56"/>
      <c r="T9" s="56"/>
      <c r="U9" s="149"/>
      <c r="V9" s="81"/>
      <c r="W9" s="81"/>
      <c r="X9" s="120"/>
      <c r="Y9" s="81"/>
      <c r="Z9" s="81"/>
      <c r="AA9" s="81"/>
      <c r="AB9" s="8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112"/>
    </row>
    <row r="10" spans="1:60" x14ac:dyDescent="0.2">
      <c r="C10" s="549" t="s">
        <v>683</v>
      </c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259"/>
      <c r="Q10" s="550" t="s">
        <v>598</v>
      </c>
      <c r="R10" s="550"/>
      <c r="S10" s="550"/>
      <c r="T10" s="551" t="s">
        <v>600</v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</row>
    <row r="11" spans="1:60" ht="57.75" x14ac:dyDescent="0.25">
      <c r="A11" s="552" t="s">
        <v>60</v>
      </c>
      <c r="B11" s="552" t="s">
        <v>0</v>
      </c>
      <c r="C11" s="234" t="s">
        <v>449</v>
      </c>
      <c r="D11" s="554" t="s">
        <v>58</v>
      </c>
      <c r="E11" s="556" t="s">
        <v>715</v>
      </c>
      <c r="F11" s="556" t="s">
        <v>596</v>
      </c>
      <c r="G11" s="556" t="s">
        <v>684</v>
      </c>
      <c r="H11" s="556" t="s">
        <v>1060</v>
      </c>
      <c r="I11" s="556" t="s">
        <v>1059</v>
      </c>
      <c r="J11" s="556" t="s">
        <v>685</v>
      </c>
      <c r="K11" s="556" t="s">
        <v>644</v>
      </c>
      <c r="L11" s="556" t="s">
        <v>1058</v>
      </c>
      <c r="M11" s="429" t="s">
        <v>680</v>
      </c>
      <c r="N11" s="556" t="s">
        <v>643</v>
      </c>
      <c r="O11" s="432" t="s">
        <v>681</v>
      </c>
      <c r="P11" s="565" t="s">
        <v>679</v>
      </c>
      <c r="Q11" s="561" t="s">
        <v>587</v>
      </c>
      <c r="R11" s="561" t="s">
        <v>59</v>
      </c>
      <c r="S11" s="563" t="s">
        <v>599</v>
      </c>
      <c r="T11" s="558" t="s">
        <v>1057</v>
      </c>
      <c r="U11" s="558" t="s">
        <v>1056</v>
      </c>
      <c r="V11" s="430"/>
      <c r="W11" s="570" t="s">
        <v>1055</v>
      </c>
      <c r="X11" s="558" t="s">
        <v>1054</v>
      </c>
      <c r="Y11" s="226" t="s">
        <v>16</v>
      </c>
      <c r="Z11" s="227" t="s">
        <v>16</v>
      </c>
      <c r="AA11" s="226" t="s">
        <v>17</v>
      </c>
      <c r="AB11" s="558" t="s">
        <v>1053</v>
      </c>
      <c r="AC11" s="558" t="s">
        <v>687</v>
      </c>
      <c r="AD11" s="226" t="s">
        <v>3</v>
      </c>
      <c r="AE11" s="226" t="s">
        <v>4</v>
      </c>
      <c r="AF11" s="226" t="s">
        <v>5</v>
      </c>
      <c r="AG11" s="226" t="s">
        <v>6</v>
      </c>
      <c r="AH11" s="226" t="s">
        <v>7</v>
      </c>
      <c r="AI11" s="226" t="s">
        <v>8</v>
      </c>
      <c r="AJ11" s="226" t="s">
        <v>9</v>
      </c>
      <c r="AK11" s="226" t="s">
        <v>10</v>
      </c>
      <c r="AL11" s="226" t="s">
        <v>11</v>
      </c>
      <c r="AM11" s="226" t="s">
        <v>12</v>
      </c>
      <c r="AN11" s="226" t="s">
        <v>13</v>
      </c>
      <c r="AO11" s="226" t="s">
        <v>14</v>
      </c>
      <c r="AP11" s="264" t="s">
        <v>682</v>
      </c>
      <c r="AQ11" s="228" t="s">
        <v>1051</v>
      </c>
      <c r="AR11" s="226" t="s">
        <v>3</v>
      </c>
      <c r="AS11" s="226" t="s">
        <v>4</v>
      </c>
      <c r="AT11" s="226" t="s">
        <v>5</v>
      </c>
      <c r="AU11" s="226" t="s">
        <v>6</v>
      </c>
      <c r="AV11" s="226" t="s">
        <v>7</v>
      </c>
      <c r="AW11" s="226" t="s">
        <v>16</v>
      </c>
      <c r="AX11" s="227" t="s">
        <v>16</v>
      </c>
      <c r="AY11" s="226" t="s">
        <v>17</v>
      </c>
      <c r="AZ11" s="226" t="s">
        <v>8</v>
      </c>
      <c r="BA11" s="226" t="s">
        <v>9</v>
      </c>
      <c r="BB11" s="226" t="s">
        <v>10</v>
      </c>
      <c r="BC11" s="226" t="s">
        <v>11</v>
      </c>
      <c r="BD11" s="226" t="s">
        <v>12</v>
      </c>
      <c r="BE11" s="226" t="s">
        <v>13</v>
      </c>
      <c r="BF11" s="226" t="s">
        <v>14</v>
      </c>
      <c r="BG11" s="264" t="s">
        <v>1052</v>
      </c>
      <c r="BH11" s="228" t="s">
        <v>1051</v>
      </c>
    </row>
    <row r="12" spans="1:60" ht="22.5" x14ac:dyDescent="0.25">
      <c r="A12" s="553"/>
      <c r="B12" s="553"/>
      <c r="C12" s="235"/>
      <c r="D12" s="555"/>
      <c r="E12" s="557"/>
      <c r="F12" s="557"/>
      <c r="G12" s="557"/>
      <c r="H12" s="557"/>
      <c r="I12" s="557"/>
      <c r="J12" s="557"/>
      <c r="K12" s="557"/>
      <c r="L12" s="557"/>
      <c r="M12" s="262">
        <v>42004</v>
      </c>
      <c r="N12" s="557"/>
      <c r="O12" s="261">
        <v>42005</v>
      </c>
      <c r="P12" s="566"/>
      <c r="Q12" s="562" t="s">
        <v>19</v>
      </c>
      <c r="R12" s="562" t="s">
        <v>19</v>
      </c>
      <c r="S12" s="564"/>
      <c r="T12" s="569"/>
      <c r="U12" s="569"/>
      <c r="V12" s="431" t="s">
        <v>1050</v>
      </c>
      <c r="W12" s="573"/>
      <c r="X12" s="559"/>
      <c r="Y12" s="230" t="s">
        <v>21</v>
      </c>
      <c r="Z12" s="231" t="s">
        <v>22</v>
      </c>
      <c r="AA12" s="230" t="s">
        <v>23</v>
      </c>
      <c r="AB12" s="559"/>
      <c r="AC12" s="559"/>
      <c r="AD12" s="230">
        <v>2014</v>
      </c>
      <c r="AE12" s="230">
        <v>2014</v>
      </c>
      <c r="AF12" s="230">
        <v>2014</v>
      </c>
      <c r="AG12" s="230">
        <v>2014</v>
      </c>
      <c r="AH12" s="230">
        <f>2014</f>
        <v>2014</v>
      </c>
      <c r="AI12" s="230">
        <f>2014</f>
        <v>2014</v>
      </c>
      <c r="AJ12" s="230">
        <f>2014</f>
        <v>2014</v>
      </c>
      <c r="AK12" s="230">
        <f>2014</f>
        <v>2014</v>
      </c>
      <c r="AL12" s="230">
        <f>2014</f>
        <v>2014</v>
      </c>
      <c r="AM12" s="230">
        <f>2014</f>
        <v>2014</v>
      </c>
      <c r="AN12" s="230">
        <f>2014</f>
        <v>2014</v>
      </c>
      <c r="AO12" s="230">
        <f>2014</f>
        <v>2014</v>
      </c>
      <c r="AP12" s="230">
        <f>2014</f>
        <v>2014</v>
      </c>
      <c r="AQ12" s="230" t="s">
        <v>1049</v>
      </c>
      <c r="AR12" s="230">
        <f>2015</f>
        <v>2015</v>
      </c>
      <c r="AS12" s="230">
        <f>2015</f>
        <v>2015</v>
      </c>
      <c r="AT12" s="230">
        <f>2015</f>
        <v>2015</v>
      </c>
      <c r="AU12" s="230">
        <f>2015</f>
        <v>2015</v>
      </c>
      <c r="AV12" s="230">
        <f>2015</f>
        <v>2015</v>
      </c>
      <c r="AW12" s="230" t="s">
        <v>21</v>
      </c>
      <c r="AX12" s="231" t="s">
        <v>22</v>
      </c>
      <c r="AY12" s="230" t="s">
        <v>23</v>
      </c>
      <c r="AZ12" s="230">
        <f>2015</f>
        <v>2015</v>
      </c>
      <c r="BA12" s="230">
        <f>2015</f>
        <v>2015</v>
      </c>
      <c r="BB12" s="230">
        <f>2015</f>
        <v>2015</v>
      </c>
      <c r="BC12" s="230">
        <f>2015</f>
        <v>2015</v>
      </c>
      <c r="BD12" s="230">
        <f>2015</f>
        <v>2015</v>
      </c>
      <c r="BE12" s="230">
        <f>2015</f>
        <v>2015</v>
      </c>
      <c r="BF12" s="230">
        <f>2015</f>
        <v>2015</v>
      </c>
      <c r="BG12" s="230">
        <v>2015</v>
      </c>
      <c r="BH12" s="230" t="s">
        <v>1048</v>
      </c>
    </row>
    <row r="13" spans="1:60" x14ac:dyDescent="0.2">
      <c r="A13" s="503" t="s">
        <v>783</v>
      </c>
      <c r="B13" s="493"/>
      <c r="C13" s="185"/>
      <c r="D13" s="18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1"/>
      <c r="R13" s="171"/>
      <c r="S13" s="188"/>
      <c r="T13" s="188"/>
      <c r="U13" s="154"/>
      <c r="V13" s="110"/>
      <c r="W13" s="110"/>
      <c r="X13" s="126"/>
      <c r="Y13" s="110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7"/>
      <c r="AP13" s="117"/>
      <c r="AQ13" s="117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6"/>
      <c r="BH13" s="106"/>
    </row>
    <row r="14" spans="1:60" x14ac:dyDescent="0.2">
      <c r="A14" s="87" t="s">
        <v>1041</v>
      </c>
      <c r="B14" s="145" t="s">
        <v>1012</v>
      </c>
      <c r="C14" s="101">
        <f>5</f>
        <v>5</v>
      </c>
      <c r="D14" s="91">
        <v>0.2</v>
      </c>
      <c r="E14" s="88">
        <v>41820</v>
      </c>
      <c r="F14" s="90">
        <f t="shared" ref="F14:F21" si="0">C14*12</f>
        <v>60</v>
      </c>
      <c r="G14" s="201">
        <f t="shared" ref="G14:G21" si="1">100/F14</f>
        <v>1.6666666666666667</v>
      </c>
      <c r="H14" s="233">
        <f t="shared" ref="H14:H21" si="2">G14*I14</f>
        <v>30</v>
      </c>
      <c r="I14" s="90">
        <f t="shared" ref="I14:I21" si="3">(YEAR(E14)-YEAR(R14))*12+MONTH(E14)-MONTH(R14)</f>
        <v>18</v>
      </c>
      <c r="J14" s="233">
        <f t="shared" ref="J14:J21" si="4">K14*G14</f>
        <v>70</v>
      </c>
      <c r="K14" s="90">
        <f t="shared" ref="K14:K21" si="5">F14-I14</f>
        <v>42</v>
      </c>
      <c r="L14" s="233">
        <f t="shared" ref="L14:L21" si="6">M14*G14</f>
        <v>11.666666666666668</v>
      </c>
      <c r="M14" s="90">
        <v>7</v>
      </c>
      <c r="N14" s="233">
        <f t="shared" ref="N14:N21" si="7">O14*G14</f>
        <v>58.333333333333336</v>
      </c>
      <c r="O14" s="90">
        <f t="shared" ref="O14:O21" si="8">K14-M14</f>
        <v>35</v>
      </c>
      <c r="P14" s="88">
        <v>43090</v>
      </c>
      <c r="Q14" s="88"/>
      <c r="R14" s="488">
        <v>41264</v>
      </c>
      <c r="S14" s="487">
        <v>110000</v>
      </c>
      <c r="T14" s="89">
        <f t="shared" ref="T14:T21" si="9">S14*H14%</f>
        <v>33000</v>
      </c>
      <c r="U14" s="233">
        <f t="shared" ref="U14:U21" si="10">S14-(((2014-YEAR(R14))*12-MONTH(R14))*V14)</f>
        <v>88000</v>
      </c>
      <c r="V14" s="233">
        <f t="shared" ref="V14:V21" si="11">S14*G14%</f>
        <v>1833.3333333333333</v>
      </c>
      <c r="W14" s="233">
        <f t="shared" ref="W14:W21" si="12">V14*5</f>
        <v>9166.6666666666661</v>
      </c>
      <c r="X14" s="125">
        <f t="shared" ref="X14:X21" si="13">U14-W14</f>
        <v>78833.333333333328</v>
      </c>
      <c r="Y14" s="100">
        <f t="shared" ref="Y14:Y21" si="14">112.722</f>
        <v>112.72199999999999</v>
      </c>
      <c r="Z14" s="480">
        <v>107.246</v>
      </c>
      <c r="AA14" s="98">
        <f t="shared" ref="AA14:AA21" si="15">Y14/Z14</f>
        <v>1.0510601794006302</v>
      </c>
      <c r="AB14" s="98">
        <f t="shared" ref="AB14:AB21" si="16">X14*L14/100/J14*100/7</f>
        <v>1876.984126984127</v>
      </c>
      <c r="AC14" s="98">
        <f t="shared" ref="AC14:AC21" si="17">AB14*AA14</f>
        <v>1972.8232732400718</v>
      </c>
      <c r="AD14" s="98"/>
      <c r="AE14" s="98"/>
      <c r="AF14" s="98"/>
      <c r="AG14" s="98"/>
      <c r="AH14" s="98"/>
      <c r="AI14" s="98">
        <f t="shared" ref="AI14:AO16" si="18">$AC14</f>
        <v>1972.8232732400718</v>
      </c>
      <c r="AJ14" s="98">
        <f t="shared" si="18"/>
        <v>1972.8232732400718</v>
      </c>
      <c r="AK14" s="98">
        <f t="shared" si="18"/>
        <v>1972.8232732400718</v>
      </c>
      <c r="AL14" s="98">
        <f t="shared" si="18"/>
        <v>1972.8232732400718</v>
      </c>
      <c r="AM14" s="98">
        <f t="shared" si="18"/>
        <v>1972.8232732400718</v>
      </c>
      <c r="AN14" s="98">
        <f t="shared" si="18"/>
        <v>1972.8232732400718</v>
      </c>
      <c r="AO14" s="98">
        <f t="shared" si="18"/>
        <v>1972.8232732400718</v>
      </c>
      <c r="AP14" s="116">
        <f t="shared" ref="AP14:AP19" si="19">SUM(AI14:AN14)</f>
        <v>11836.93963944043</v>
      </c>
      <c r="AQ14" s="116">
        <f>X14-AP14</f>
        <v>66996.393693892896</v>
      </c>
      <c r="AR14" s="98">
        <f t="shared" ref="AR14:AV15" si="20">$AC14</f>
        <v>1972.8232732400718</v>
      </c>
      <c r="AS14" s="98">
        <f t="shared" si="20"/>
        <v>1972.8232732400718</v>
      </c>
      <c r="AT14" s="98">
        <f t="shared" si="20"/>
        <v>1972.8232732400718</v>
      </c>
      <c r="AU14" s="98">
        <f t="shared" si="20"/>
        <v>1972.8232732400718</v>
      </c>
      <c r="AV14" s="98">
        <f t="shared" si="20"/>
        <v>1972.8232732400718</v>
      </c>
      <c r="AW14" s="502">
        <v>115.958</v>
      </c>
      <c r="AX14" s="480">
        <v>107.246</v>
      </c>
      <c r="AY14" s="98">
        <f t="shared" ref="AY14:AY21" si="21">AW14/AX14</f>
        <v>1.0812337989295639</v>
      </c>
      <c r="AZ14" s="98">
        <f>V14*AY14</f>
        <v>1982.2619647042004</v>
      </c>
      <c r="BA14" s="98">
        <f t="shared" ref="BA14:BF15" si="22">$AZ14</f>
        <v>1982.2619647042004</v>
      </c>
      <c r="BB14" s="98">
        <f t="shared" si="22"/>
        <v>1982.2619647042004</v>
      </c>
      <c r="BC14" s="98">
        <f t="shared" si="22"/>
        <v>1982.2619647042004</v>
      </c>
      <c r="BD14" s="98">
        <f t="shared" si="22"/>
        <v>1982.2619647042004</v>
      </c>
      <c r="BE14" s="98">
        <f t="shared" si="22"/>
        <v>1982.2619647042004</v>
      </c>
      <c r="BF14" s="98">
        <f t="shared" si="22"/>
        <v>1982.2619647042004</v>
      </c>
      <c r="BG14" s="106">
        <f t="shared" ref="BG14:BG21" si="23">(SUM(AR14:AV14))+(SUM(AZ14:BF14))</f>
        <v>23739.95011912976</v>
      </c>
      <c r="BH14" s="106">
        <f>AQ14-BG14</f>
        <v>43256.443574763136</v>
      </c>
    </row>
    <row r="15" spans="1:60" x14ac:dyDescent="0.2">
      <c r="A15" s="87" t="s">
        <v>784</v>
      </c>
      <c r="B15" s="145" t="s">
        <v>1010</v>
      </c>
      <c r="C15" s="101">
        <f>5</f>
        <v>5</v>
      </c>
      <c r="D15" s="91">
        <v>0.2</v>
      </c>
      <c r="E15" s="88">
        <v>41820</v>
      </c>
      <c r="F15" s="90">
        <f t="shared" si="0"/>
        <v>60</v>
      </c>
      <c r="G15" s="201">
        <f t="shared" si="1"/>
        <v>1.6666666666666667</v>
      </c>
      <c r="H15" s="233">
        <f t="shared" si="2"/>
        <v>6.666666666666667</v>
      </c>
      <c r="I15" s="90">
        <f t="shared" si="3"/>
        <v>4</v>
      </c>
      <c r="J15" s="233">
        <f t="shared" si="4"/>
        <v>93.333333333333343</v>
      </c>
      <c r="K15" s="90">
        <f t="shared" si="5"/>
        <v>56</v>
      </c>
      <c r="L15" s="233">
        <f t="shared" si="6"/>
        <v>11.666666666666668</v>
      </c>
      <c r="M15" s="90">
        <v>7</v>
      </c>
      <c r="N15" s="233">
        <f t="shared" si="7"/>
        <v>81.666666666666671</v>
      </c>
      <c r="O15" s="90">
        <f t="shared" si="8"/>
        <v>49</v>
      </c>
      <c r="P15" s="88">
        <v>43517</v>
      </c>
      <c r="Q15" s="88"/>
      <c r="R15" s="488">
        <v>41691</v>
      </c>
      <c r="S15" s="487">
        <v>130000</v>
      </c>
      <c r="T15" s="89">
        <f t="shared" si="9"/>
        <v>8666.6666666666661</v>
      </c>
      <c r="U15" s="233">
        <f t="shared" si="10"/>
        <v>134333.33333333334</v>
      </c>
      <c r="V15" s="233">
        <f t="shared" si="11"/>
        <v>2166.6666666666665</v>
      </c>
      <c r="W15" s="233">
        <f t="shared" si="12"/>
        <v>10833.333333333332</v>
      </c>
      <c r="X15" s="125">
        <f t="shared" si="13"/>
        <v>123500.00000000001</v>
      </c>
      <c r="Y15" s="100">
        <f t="shared" si="14"/>
        <v>112.72199999999999</v>
      </c>
      <c r="Z15" s="480">
        <v>112.79</v>
      </c>
      <c r="AA15" s="98">
        <f t="shared" si="15"/>
        <v>0.99939710967284323</v>
      </c>
      <c r="AB15" s="98">
        <f t="shared" si="16"/>
        <v>2205.3571428571436</v>
      </c>
      <c r="AC15" s="98">
        <f t="shared" si="17"/>
        <v>2204.027554367789</v>
      </c>
      <c r="AD15" s="98"/>
      <c r="AE15" s="98"/>
      <c r="AF15" s="98"/>
      <c r="AG15" s="98"/>
      <c r="AH15" s="98"/>
      <c r="AI15" s="98">
        <f t="shared" si="18"/>
        <v>2204.027554367789</v>
      </c>
      <c r="AJ15" s="98">
        <f t="shared" si="18"/>
        <v>2204.027554367789</v>
      </c>
      <c r="AK15" s="98">
        <f t="shared" si="18"/>
        <v>2204.027554367789</v>
      </c>
      <c r="AL15" s="98">
        <f t="shared" si="18"/>
        <v>2204.027554367789</v>
      </c>
      <c r="AM15" s="98">
        <f t="shared" si="18"/>
        <v>2204.027554367789</v>
      </c>
      <c r="AN15" s="98">
        <f t="shared" si="18"/>
        <v>2204.027554367789</v>
      </c>
      <c r="AO15" s="98">
        <f t="shared" si="18"/>
        <v>2204.027554367789</v>
      </c>
      <c r="AP15" s="116">
        <f t="shared" si="19"/>
        <v>13224.165326206734</v>
      </c>
      <c r="AQ15" s="116">
        <f>X15-AP15</f>
        <v>110275.83467379329</v>
      </c>
      <c r="AR15" s="98">
        <f t="shared" si="20"/>
        <v>2204.027554367789</v>
      </c>
      <c r="AS15" s="98">
        <f t="shared" si="20"/>
        <v>2204.027554367789</v>
      </c>
      <c r="AT15" s="98">
        <f t="shared" si="20"/>
        <v>2204.027554367789</v>
      </c>
      <c r="AU15" s="98">
        <f t="shared" si="20"/>
        <v>2204.027554367789</v>
      </c>
      <c r="AV15" s="98">
        <f t="shared" si="20"/>
        <v>2204.027554367789</v>
      </c>
      <c r="AW15" s="502">
        <v>115.958</v>
      </c>
      <c r="AX15" s="480">
        <v>112.79</v>
      </c>
      <c r="AY15" s="98">
        <f t="shared" si="21"/>
        <v>1.0280875964181222</v>
      </c>
      <c r="AZ15" s="98">
        <f>V15*AY15</f>
        <v>2227.523125572598</v>
      </c>
      <c r="BA15" s="98">
        <f t="shared" si="22"/>
        <v>2227.523125572598</v>
      </c>
      <c r="BB15" s="98">
        <f t="shared" si="22"/>
        <v>2227.523125572598</v>
      </c>
      <c r="BC15" s="98">
        <f t="shared" si="22"/>
        <v>2227.523125572598</v>
      </c>
      <c r="BD15" s="98">
        <f t="shared" si="22"/>
        <v>2227.523125572598</v>
      </c>
      <c r="BE15" s="98">
        <f t="shared" si="22"/>
        <v>2227.523125572598</v>
      </c>
      <c r="BF15" s="98">
        <f t="shared" si="22"/>
        <v>2227.523125572598</v>
      </c>
      <c r="BG15" s="106">
        <f t="shared" si="23"/>
        <v>26612.79965084713</v>
      </c>
      <c r="BH15" s="106">
        <f>AQ15-BG15</f>
        <v>83663.035022946162</v>
      </c>
    </row>
    <row r="16" spans="1:60" x14ac:dyDescent="0.2">
      <c r="A16" s="87" t="s">
        <v>1044</v>
      </c>
      <c r="B16" s="145" t="s">
        <v>1017</v>
      </c>
      <c r="C16" s="101">
        <f>5</f>
        <v>5</v>
      </c>
      <c r="D16" s="91">
        <v>0.2</v>
      </c>
      <c r="E16" s="88">
        <v>41820</v>
      </c>
      <c r="F16" s="90">
        <f t="shared" si="0"/>
        <v>60</v>
      </c>
      <c r="G16" s="201">
        <f t="shared" si="1"/>
        <v>1.6666666666666667</v>
      </c>
      <c r="H16" s="233">
        <f t="shared" si="2"/>
        <v>90</v>
      </c>
      <c r="I16" s="90">
        <f t="shared" si="3"/>
        <v>54</v>
      </c>
      <c r="J16" s="233">
        <f t="shared" si="4"/>
        <v>10</v>
      </c>
      <c r="K16" s="90">
        <f t="shared" si="5"/>
        <v>6</v>
      </c>
      <c r="L16" s="233">
        <f t="shared" si="6"/>
        <v>11.666666666666668</v>
      </c>
      <c r="M16" s="90">
        <v>7</v>
      </c>
      <c r="N16" s="233">
        <f t="shared" si="7"/>
        <v>-1.6666666666666667</v>
      </c>
      <c r="O16" s="90">
        <f t="shared" si="8"/>
        <v>-1</v>
      </c>
      <c r="P16" s="88">
        <v>42002</v>
      </c>
      <c r="Q16" s="88"/>
      <c r="R16" s="488">
        <v>40176</v>
      </c>
      <c r="S16" s="487">
        <v>157000</v>
      </c>
      <c r="T16" s="89">
        <f t="shared" si="9"/>
        <v>141300</v>
      </c>
      <c r="U16" s="233">
        <f t="shared" si="10"/>
        <v>31400</v>
      </c>
      <c r="V16" s="233">
        <f t="shared" si="11"/>
        <v>2616.6666666666665</v>
      </c>
      <c r="W16" s="233">
        <f t="shared" si="12"/>
        <v>13083.333333333332</v>
      </c>
      <c r="X16" s="125">
        <f t="shared" si="13"/>
        <v>18316.666666666668</v>
      </c>
      <c r="Y16" s="100">
        <f t="shared" si="14"/>
        <v>112.72199999999999</v>
      </c>
      <c r="Z16" s="480">
        <v>138.541</v>
      </c>
      <c r="AA16" s="98">
        <f t="shared" si="15"/>
        <v>0.81363639644581742</v>
      </c>
      <c r="AB16" s="98">
        <f t="shared" si="16"/>
        <v>3052.7777777777783</v>
      </c>
      <c r="AC16" s="98">
        <f t="shared" si="17"/>
        <v>2483.8511102609818</v>
      </c>
      <c r="AD16" s="98"/>
      <c r="AE16" s="98"/>
      <c r="AF16" s="98"/>
      <c r="AG16" s="98"/>
      <c r="AH16" s="98"/>
      <c r="AI16" s="98">
        <f t="shared" si="18"/>
        <v>2483.8511102609818</v>
      </c>
      <c r="AJ16" s="98">
        <f t="shared" si="18"/>
        <v>2483.8511102609818</v>
      </c>
      <c r="AK16" s="98">
        <f t="shared" si="18"/>
        <v>2483.8511102609818</v>
      </c>
      <c r="AL16" s="98">
        <f t="shared" si="18"/>
        <v>2483.8511102609818</v>
      </c>
      <c r="AM16" s="98">
        <f t="shared" si="18"/>
        <v>2483.8511102609818</v>
      </c>
      <c r="AN16" s="98">
        <f t="shared" si="18"/>
        <v>2483.8511102609818</v>
      </c>
      <c r="AO16" s="98">
        <f t="shared" si="18"/>
        <v>2483.8511102609818</v>
      </c>
      <c r="AP16" s="116">
        <f t="shared" si="19"/>
        <v>14903.106661565889</v>
      </c>
      <c r="AQ16" s="116">
        <f>X16-AP16</f>
        <v>3413.5600051007787</v>
      </c>
      <c r="AR16" s="98">
        <f>$AC16</f>
        <v>2483.8511102609818</v>
      </c>
      <c r="AS16" s="98">
        <v>929.71</v>
      </c>
      <c r="AT16" s="98"/>
      <c r="AU16" s="98"/>
      <c r="AV16" s="98"/>
      <c r="AW16" s="502">
        <v>115.958</v>
      </c>
      <c r="AX16" s="480">
        <v>138.541</v>
      </c>
      <c r="AY16" s="98">
        <f t="shared" si="21"/>
        <v>0.83699410282876552</v>
      </c>
      <c r="AZ16" s="98"/>
      <c r="BA16" s="98"/>
      <c r="BB16" s="98"/>
      <c r="BC16" s="98"/>
      <c r="BD16" s="98"/>
      <c r="BE16" s="98"/>
      <c r="BF16" s="98"/>
      <c r="BG16" s="106">
        <f t="shared" si="23"/>
        <v>3413.5611102609819</v>
      </c>
      <c r="BH16" s="106">
        <v>1</v>
      </c>
    </row>
    <row r="17" spans="1:60" x14ac:dyDescent="0.2">
      <c r="A17" s="87" t="s">
        <v>1046</v>
      </c>
      <c r="B17" s="145" t="s">
        <v>1021</v>
      </c>
      <c r="C17" s="101">
        <f>5</f>
        <v>5</v>
      </c>
      <c r="D17" s="91">
        <v>0.2</v>
      </c>
      <c r="E17" s="88">
        <v>41820</v>
      </c>
      <c r="F17" s="90">
        <f t="shared" si="0"/>
        <v>60</v>
      </c>
      <c r="G17" s="201">
        <f t="shared" si="1"/>
        <v>1.6666666666666667</v>
      </c>
      <c r="H17" s="233">
        <f t="shared" si="2"/>
        <v>96.666666666666671</v>
      </c>
      <c r="I17" s="90">
        <f t="shared" si="3"/>
        <v>58</v>
      </c>
      <c r="J17" s="233">
        <f t="shared" si="4"/>
        <v>3.3333333333333335</v>
      </c>
      <c r="K17" s="90">
        <f t="shared" si="5"/>
        <v>2</v>
      </c>
      <c r="L17" s="233">
        <f t="shared" si="6"/>
        <v>11.666666666666668</v>
      </c>
      <c r="M17" s="90">
        <v>7</v>
      </c>
      <c r="N17" s="233">
        <f t="shared" si="7"/>
        <v>-8.3333333333333339</v>
      </c>
      <c r="O17" s="90">
        <f t="shared" si="8"/>
        <v>-5</v>
      </c>
      <c r="P17" s="88">
        <v>41878</v>
      </c>
      <c r="Q17" s="88"/>
      <c r="R17" s="488">
        <v>40052</v>
      </c>
      <c r="S17" s="487">
        <v>253500</v>
      </c>
      <c r="T17" s="89">
        <f t="shared" si="9"/>
        <v>245050</v>
      </c>
      <c r="U17" s="233">
        <f t="shared" si="10"/>
        <v>33800</v>
      </c>
      <c r="V17" s="233">
        <f t="shared" si="11"/>
        <v>4225</v>
      </c>
      <c r="W17" s="233">
        <f t="shared" si="12"/>
        <v>21125</v>
      </c>
      <c r="X17" s="125">
        <f t="shared" si="13"/>
        <v>12675</v>
      </c>
      <c r="Y17" s="100">
        <f t="shared" si="14"/>
        <v>112.72199999999999</v>
      </c>
      <c r="Z17" s="480">
        <v>136.161</v>
      </c>
      <c r="AA17" s="98">
        <f t="shared" si="15"/>
        <v>0.82785819728115972</v>
      </c>
      <c r="AB17" s="98">
        <f t="shared" si="16"/>
        <v>6337.5000000000009</v>
      </c>
      <c r="AC17" s="98">
        <f t="shared" si="17"/>
        <v>5246.5513252693509</v>
      </c>
      <c r="AD17" s="98"/>
      <c r="AE17" s="98"/>
      <c r="AF17" s="98"/>
      <c r="AG17" s="98"/>
      <c r="AH17" s="98"/>
      <c r="AI17" s="98">
        <f t="shared" ref="AI17:AJ21" si="24">$AC17</f>
        <v>5246.5513252693509</v>
      </c>
      <c r="AJ17" s="98">
        <f t="shared" si="24"/>
        <v>5246.5513252693509</v>
      </c>
      <c r="AK17" s="98">
        <v>2181.9</v>
      </c>
      <c r="AL17" s="98"/>
      <c r="AM17" s="98"/>
      <c r="AN17" s="98"/>
      <c r="AO17" s="98"/>
      <c r="AP17" s="116">
        <f t="shared" si="19"/>
        <v>12675.002650538701</v>
      </c>
      <c r="AQ17" s="116">
        <v>1</v>
      </c>
      <c r="AR17" s="98"/>
      <c r="AS17" s="98"/>
      <c r="AT17" s="98"/>
      <c r="AU17" s="98"/>
      <c r="AV17" s="98"/>
      <c r="AW17" s="502">
        <v>115.958</v>
      </c>
      <c r="AX17" s="480">
        <v>136.161</v>
      </c>
      <c r="AY17" s="98">
        <f t="shared" si="21"/>
        <v>0.85162418019844155</v>
      </c>
      <c r="AZ17" s="98"/>
      <c r="BA17" s="98">
        <f t="shared" ref="BA17:BF18" si="25">$AZ17</f>
        <v>0</v>
      </c>
      <c r="BB17" s="98">
        <f t="shared" si="25"/>
        <v>0</v>
      </c>
      <c r="BC17" s="98">
        <f t="shared" si="25"/>
        <v>0</v>
      </c>
      <c r="BD17" s="98">
        <f t="shared" si="25"/>
        <v>0</v>
      </c>
      <c r="BE17" s="98">
        <f t="shared" si="25"/>
        <v>0</v>
      </c>
      <c r="BF17" s="98">
        <f t="shared" si="25"/>
        <v>0</v>
      </c>
      <c r="BG17" s="106">
        <f t="shared" si="23"/>
        <v>0</v>
      </c>
      <c r="BH17" s="106">
        <f>AQ17-BG17</f>
        <v>1</v>
      </c>
    </row>
    <row r="18" spans="1:60" x14ac:dyDescent="0.2">
      <c r="A18" s="87" t="s">
        <v>1042</v>
      </c>
      <c r="B18" s="145" t="s">
        <v>1013</v>
      </c>
      <c r="C18" s="101">
        <f>5</f>
        <v>5</v>
      </c>
      <c r="D18" s="91">
        <v>0.2</v>
      </c>
      <c r="E18" s="88">
        <v>41820</v>
      </c>
      <c r="F18" s="90">
        <f t="shared" si="0"/>
        <v>60</v>
      </c>
      <c r="G18" s="201">
        <f t="shared" si="1"/>
        <v>1.6666666666666667</v>
      </c>
      <c r="H18" s="233">
        <f t="shared" si="2"/>
        <v>3.3333333333333335</v>
      </c>
      <c r="I18" s="90">
        <f t="shared" si="3"/>
        <v>2</v>
      </c>
      <c r="J18" s="233">
        <f t="shared" si="4"/>
        <v>96.666666666666671</v>
      </c>
      <c r="K18" s="90">
        <f t="shared" si="5"/>
        <v>58</v>
      </c>
      <c r="L18" s="233">
        <f t="shared" si="6"/>
        <v>11.666666666666668</v>
      </c>
      <c r="M18" s="90">
        <v>7</v>
      </c>
      <c r="N18" s="233">
        <f t="shared" si="7"/>
        <v>85</v>
      </c>
      <c r="O18" s="90">
        <f t="shared" si="8"/>
        <v>51</v>
      </c>
      <c r="P18" s="88">
        <v>43566</v>
      </c>
      <c r="Q18" s="88"/>
      <c r="R18" s="488">
        <v>41740</v>
      </c>
      <c r="S18" s="487">
        <v>180000</v>
      </c>
      <c r="T18" s="89">
        <f t="shared" si="9"/>
        <v>6000</v>
      </c>
      <c r="U18" s="233">
        <f t="shared" si="10"/>
        <v>192000</v>
      </c>
      <c r="V18" s="233">
        <f t="shared" si="11"/>
        <v>3000</v>
      </c>
      <c r="W18" s="233">
        <f t="shared" si="12"/>
        <v>15000</v>
      </c>
      <c r="X18" s="125">
        <f t="shared" si="13"/>
        <v>177000</v>
      </c>
      <c r="Y18" s="100">
        <f t="shared" si="14"/>
        <v>112.72199999999999</v>
      </c>
      <c r="Z18" s="480">
        <v>112.88800000000001</v>
      </c>
      <c r="AA18" s="98">
        <f t="shared" si="15"/>
        <v>0.99852951598044071</v>
      </c>
      <c r="AB18" s="98">
        <f t="shared" si="16"/>
        <v>3051.7241379310349</v>
      </c>
      <c r="AC18" s="98">
        <f t="shared" si="17"/>
        <v>3047.2366263541039</v>
      </c>
      <c r="AD18" s="98"/>
      <c r="AE18" s="98"/>
      <c r="AF18" s="98"/>
      <c r="AG18" s="98"/>
      <c r="AH18" s="98"/>
      <c r="AI18" s="98">
        <f t="shared" si="24"/>
        <v>3047.2366263541039</v>
      </c>
      <c r="AJ18" s="98">
        <f t="shared" si="24"/>
        <v>3047.2366263541039</v>
      </c>
      <c r="AK18" s="98">
        <f t="shared" ref="AK18:AO21" si="26">$AC18</f>
        <v>3047.2366263541039</v>
      </c>
      <c r="AL18" s="98">
        <f t="shared" si="26"/>
        <v>3047.2366263541039</v>
      </c>
      <c r="AM18" s="98">
        <f t="shared" si="26"/>
        <v>3047.2366263541039</v>
      </c>
      <c r="AN18" s="98">
        <f t="shared" si="26"/>
        <v>3047.2366263541039</v>
      </c>
      <c r="AO18" s="98">
        <f t="shared" si="26"/>
        <v>3047.2366263541039</v>
      </c>
      <c r="AP18" s="116">
        <f t="shared" si="19"/>
        <v>18283.419758124623</v>
      </c>
      <c r="AQ18" s="116">
        <f>X18-AP18</f>
        <v>158716.58024187537</v>
      </c>
      <c r="AR18" s="98">
        <f>$AC18</f>
        <v>3047.2366263541039</v>
      </c>
      <c r="AS18" s="98">
        <f>$AC18</f>
        <v>3047.2366263541039</v>
      </c>
      <c r="AT18" s="98">
        <f>$AC18</f>
        <v>3047.2366263541039</v>
      </c>
      <c r="AU18" s="98">
        <f>$AC18</f>
        <v>3047.2366263541039</v>
      </c>
      <c r="AV18" s="98">
        <f>$AC18</f>
        <v>3047.2366263541039</v>
      </c>
      <c r="AW18" s="502">
        <v>115.958</v>
      </c>
      <c r="AX18" s="480">
        <v>112.88800000000001</v>
      </c>
      <c r="AY18" s="98">
        <f t="shared" si="21"/>
        <v>1.0271950960243781</v>
      </c>
      <c r="AZ18" s="98">
        <f>V18*AY18</f>
        <v>3081.5852880731341</v>
      </c>
      <c r="BA18" s="98">
        <f t="shared" si="25"/>
        <v>3081.5852880731341</v>
      </c>
      <c r="BB18" s="98">
        <f t="shared" si="25"/>
        <v>3081.5852880731341</v>
      </c>
      <c r="BC18" s="98">
        <f t="shared" si="25"/>
        <v>3081.5852880731341</v>
      </c>
      <c r="BD18" s="98">
        <f t="shared" si="25"/>
        <v>3081.5852880731341</v>
      </c>
      <c r="BE18" s="98">
        <f t="shared" si="25"/>
        <v>3081.5852880731341</v>
      </c>
      <c r="BF18" s="98">
        <f t="shared" si="25"/>
        <v>3081.5852880731341</v>
      </c>
      <c r="BG18" s="106">
        <f t="shared" si="23"/>
        <v>36807.280148282458</v>
      </c>
      <c r="BH18" s="106">
        <f>AQ18-BG18</f>
        <v>121909.30009359292</v>
      </c>
    </row>
    <row r="19" spans="1:60" x14ac:dyDescent="0.2">
      <c r="A19" s="87" t="s">
        <v>1045</v>
      </c>
      <c r="B19" s="145" t="s">
        <v>1020</v>
      </c>
      <c r="C19" s="101">
        <f>5</f>
        <v>5</v>
      </c>
      <c r="D19" s="91">
        <v>0.2</v>
      </c>
      <c r="E19" s="88">
        <v>41820</v>
      </c>
      <c r="F19" s="90">
        <f t="shared" si="0"/>
        <v>60</v>
      </c>
      <c r="G19" s="201">
        <f t="shared" si="1"/>
        <v>1.6666666666666667</v>
      </c>
      <c r="H19" s="233">
        <f t="shared" si="2"/>
        <v>88.333333333333343</v>
      </c>
      <c r="I19" s="90">
        <f t="shared" si="3"/>
        <v>53</v>
      </c>
      <c r="J19" s="233">
        <f t="shared" si="4"/>
        <v>11.666666666666668</v>
      </c>
      <c r="K19" s="90">
        <f t="shared" si="5"/>
        <v>7</v>
      </c>
      <c r="L19" s="233">
        <f t="shared" si="6"/>
        <v>11.666666666666668</v>
      </c>
      <c r="M19" s="90">
        <v>7</v>
      </c>
      <c r="N19" s="233">
        <f t="shared" si="7"/>
        <v>0</v>
      </c>
      <c r="O19" s="90">
        <f t="shared" si="8"/>
        <v>0</v>
      </c>
      <c r="P19" s="88">
        <v>42026</v>
      </c>
      <c r="Q19" s="88"/>
      <c r="R19" s="488">
        <v>40200</v>
      </c>
      <c r="S19" s="487">
        <v>112000</v>
      </c>
      <c r="T19" s="89">
        <f t="shared" si="9"/>
        <v>98933.333333333343</v>
      </c>
      <c r="U19" s="233">
        <f t="shared" si="10"/>
        <v>24266.666666666657</v>
      </c>
      <c r="V19" s="233">
        <f t="shared" si="11"/>
        <v>1866.6666666666667</v>
      </c>
      <c r="W19" s="233">
        <f t="shared" si="12"/>
        <v>9333.3333333333339</v>
      </c>
      <c r="X19" s="125">
        <f t="shared" si="13"/>
        <v>14933.333333333323</v>
      </c>
      <c r="Y19" s="100">
        <f t="shared" si="14"/>
        <v>112.72199999999999</v>
      </c>
      <c r="Z19" s="480">
        <v>140.047</v>
      </c>
      <c r="AA19" s="98">
        <f t="shared" si="15"/>
        <v>0.8048869308160832</v>
      </c>
      <c r="AB19" s="98">
        <f t="shared" si="16"/>
        <v>2133.3333333333317</v>
      </c>
      <c r="AC19" s="98">
        <f t="shared" si="17"/>
        <v>1717.0921190743095</v>
      </c>
      <c r="AD19" s="98"/>
      <c r="AE19" s="98"/>
      <c r="AF19" s="98"/>
      <c r="AG19" s="98"/>
      <c r="AH19" s="98"/>
      <c r="AI19" s="98">
        <f t="shared" si="24"/>
        <v>1717.0921190743095</v>
      </c>
      <c r="AJ19" s="98">
        <f t="shared" si="24"/>
        <v>1717.0921190743095</v>
      </c>
      <c r="AK19" s="98">
        <f t="shared" si="26"/>
        <v>1717.0921190743095</v>
      </c>
      <c r="AL19" s="98">
        <f t="shared" si="26"/>
        <v>1717.0921190743095</v>
      </c>
      <c r="AM19" s="98">
        <f t="shared" si="26"/>
        <v>1717.0921190743095</v>
      </c>
      <c r="AN19" s="98">
        <f t="shared" si="26"/>
        <v>1717.0921190743095</v>
      </c>
      <c r="AO19" s="98">
        <f t="shared" si="26"/>
        <v>1717.0921190743095</v>
      </c>
      <c r="AP19" s="116">
        <f t="shared" si="19"/>
        <v>10302.552714445857</v>
      </c>
      <c r="AQ19" s="116">
        <f>X19-AP19</f>
        <v>4630.7806188874656</v>
      </c>
      <c r="AR19" s="98">
        <f t="shared" ref="AR19:AS21" si="27">$AC19</f>
        <v>1717.0921190743095</v>
      </c>
      <c r="AS19" s="98">
        <f t="shared" si="27"/>
        <v>1717.0921190743095</v>
      </c>
      <c r="AT19" s="98">
        <v>1196.5999999999999</v>
      </c>
      <c r="AU19" s="98"/>
      <c r="AV19" s="98"/>
      <c r="AW19" s="502">
        <v>115.958</v>
      </c>
      <c r="AX19" s="480">
        <v>140.047</v>
      </c>
      <c r="AY19" s="98">
        <f t="shared" si="21"/>
        <v>0.82799345933865065</v>
      </c>
      <c r="AZ19" s="98"/>
      <c r="BA19" s="98"/>
      <c r="BB19" s="98"/>
      <c r="BC19" s="98"/>
      <c r="BD19" s="98"/>
      <c r="BE19" s="98"/>
      <c r="BF19" s="98"/>
      <c r="BG19" s="106">
        <f t="shared" si="23"/>
        <v>4630.7842381486189</v>
      </c>
      <c r="BH19" s="106">
        <v>1</v>
      </c>
    </row>
    <row r="20" spans="1:60" x14ac:dyDescent="0.2">
      <c r="A20" s="87" t="s">
        <v>1047</v>
      </c>
      <c r="B20" s="145" t="s">
        <v>1022</v>
      </c>
      <c r="C20" s="101">
        <f>5</f>
        <v>5</v>
      </c>
      <c r="D20" s="91">
        <v>0.2</v>
      </c>
      <c r="E20" s="88">
        <v>41820</v>
      </c>
      <c r="F20" s="90">
        <f t="shared" si="0"/>
        <v>60</v>
      </c>
      <c r="G20" s="201">
        <f t="shared" si="1"/>
        <v>1.6666666666666667</v>
      </c>
      <c r="H20" s="233">
        <f t="shared" si="2"/>
        <v>73.333333333333343</v>
      </c>
      <c r="I20" s="90">
        <f t="shared" si="3"/>
        <v>44</v>
      </c>
      <c r="J20" s="233">
        <f t="shared" si="4"/>
        <v>26.666666666666668</v>
      </c>
      <c r="K20" s="90">
        <f t="shared" si="5"/>
        <v>16</v>
      </c>
      <c r="L20" s="233">
        <f t="shared" si="6"/>
        <v>11.666666666666668</v>
      </c>
      <c r="M20" s="90">
        <v>7</v>
      </c>
      <c r="N20" s="233">
        <f t="shared" si="7"/>
        <v>15</v>
      </c>
      <c r="O20" s="90">
        <f t="shared" si="8"/>
        <v>9</v>
      </c>
      <c r="P20" s="88">
        <v>42278</v>
      </c>
      <c r="Q20" s="88"/>
      <c r="R20" s="488">
        <v>40452</v>
      </c>
      <c r="S20" s="487">
        <v>256662</v>
      </c>
      <c r="T20" s="89">
        <f t="shared" si="9"/>
        <v>188218.80000000002</v>
      </c>
      <c r="U20" s="233">
        <f t="shared" si="10"/>
        <v>94109.4</v>
      </c>
      <c r="V20" s="233">
        <f t="shared" si="11"/>
        <v>4277.7</v>
      </c>
      <c r="W20" s="233">
        <f t="shared" si="12"/>
        <v>21388.5</v>
      </c>
      <c r="X20" s="125">
        <f t="shared" si="13"/>
        <v>72720.899999999994</v>
      </c>
      <c r="Y20" s="100">
        <f t="shared" si="14"/>
        <v>112.72199999999999</v>
      </c>
      <c r="Z20" s="480">
        <v>142.78200000000001</v>
      </c>
      <c r="AA20" s="475">
        <f t="shared" si="15"/>
        <v>0.78946926083119706</v>
      </c>
      <c r="AB20" s="98">
        <f t="shared" si="16"/>
        <v>4545.0562499999996</v>
      </c>
      <c r="AC20" s="98">
        <f t="shared" si="17"/>
        <v>3588.1821981237122</v>
      </c>
      <c r="AD20" s="98"/>
      <c r="AE20" s="98"/>
      <c r="AF20" s="98"/>
      <c r="AG20" s="98"/>
      <c r="AH20" s="98"/>
      <c r="AI20" s="98">
        <f t="shared" si="24"/>
        <v>3588.1821981237122</v>
      </c>
      <c r="AJ20" s="98">
        <f t="shared" si="24"/>
        <v>3588.1821981237122</v>
      </c>
      <c r="AK20" s="98">
        <f t="shared" si="26"/>
        <v>3588.1821981237122</v>
      </c>
      <c r="AL20" s="98">
        <f t="shared" si="26"/>
        <v>3588.1821981237122</v>
      </c>
      <c r="AM20" s="98">
        <f t="shared" si="26"/>
        <v>3588.1821981237122</v>
      </c>
      <c r="AN20" s="98">
        <f t="shared" si="26"/>
        <v>3588.1821981237122</v>
      </c>
      <c r="AO20" s="98">
        <f t="shared" si="26"/>
        <v>3588.1821981237122</v>
      </c>
      <c r="AP20" s="116">
        <f>SUM(AI20:AO20)</f>
        <v>25117.275386865986</v>
      </c>
      <c r="AQ20" s="116">
        <f>X20-AP20</f>
        <v>47603.624613134009</v>
      </c>
      <c r="AR20" s="98">
        <f t="shared" si="27"/>
        <v>3588.1821981237122</v>
      </c>
      <c r="AS20" s="98">
        <f t="shared" si="27"/>
        <v>3588.1821981237122</v>
      </c>
      <c r="AT20" s="98">
        <f t="shared" ref="AT20:AV21" si="28">$AC20</f>
        <v>3588.1821981237122</v>
      </c>
      <c r="AU20" s="98">
        <f t="shared" si="28"/>
        <v>3588.1821981237122</v>
      </c>
      <c r="AV20" s="98">
        <f t="shared" si="28"/>
        <v>3588.1821981237122</v>
      </c>
      <c r="AW20" s="502">
        <v>115.958</v>
      </c>
      <c r="AX20" s="480">
        <v>142.78200000000001</v>
      </c>
      <c r="AY20" s="98">
        <f t="shared" si="21"/>
        <v>0.81213318205376017</v>
      </c>
      <c r="AZ20" s="98">
        <f>V20*AY20</f>
        <v>3474.0621128713697</v>
      </c>
      <c r="BA20" s="98">
        <f t="shared" ref="BA20:BF21" si="29">$AZ20</f>
        <v>3474.0621128713697</v>
      </c>
      <c r="BB20" s="98">
        <f t="shared" si="29"/>
        <v>3474.0621128713697</v>
      </c>
      <c r="BC20" s="98">
        <f t="shared" si="29"/>
        <v>3474.0621128713697</v>
      </c>
      <c r="BD20" s="98">
        <f t="shared" si="29"/>
        <v>3474.0621128713697</v>
      </c>
      <c r="BE20" s="98">
        <f t="shared" si="29"/>
        <v>3474.0621128713697</v>
      </c>
      <c r="BF20" s="98">
        <f t="shared" si="29"/>
        <v>3474.0621128713697</v>
      </c>
      <c r="BG20" s="106">
        <f t="shared" si="23"/>
        <v>42259.345780718148</v>
      </c>
      <c r="BH20" s="106">
        <f>AQ20-BG20</f>
        <v>5344.278832415861</v>
      </c>
    </row>
    <row r="21" spans="1:60" x14ac:dyDescent="0.2">
      <c r="A21" s="87" t="s">
        <v>1043</v>
      </c>
      <c r="B21" s="145" t="s">
        <v>1014</v>
      </c>
      <c r="C21" s="101">
        <f>5</f>
        <v>5</v>
      </c>
      <c r="D21" s="91">
        <v>0.2</v>
      </c>
      <c r="E21" s="88">
        <v>41820</v>
      </c>
      <c r="F21" s="90">
        <f t="shared" si="0"/>
        <v>60</v>
      </c>
      <c r="G21" s="201">
        <f t="shared" si="1"/>
        <v>1.6666666666666667</v>
      </c>
      <c r="H21" s="233">
        <f t="shared" si="2"/>
        <v>3.3333333333333335</v>
      </c>
      <c r="I21" s="90">
        <f t="shared" si="3"/>
        <v>2</v>
      </c>
      <c r="J21" s="233">
        <f t="shared" si="4"/>
        <v>96.666666666666671</v>
      </c>
      <c r="K21" s="90">
        <f t="shared" si="5"/>
        <v>58</v>
      </c>
      <c r="L21" s="233">
        <f t="shared" si="6"/>
        <v>11.666666666666668</v>
      </c>
      <c r="M21" s="90">
        <v>7</v>
      </c>
      <c r="N21" s="233">
        <f t="shared" si="7"/>
        <v>85</v>
      </c>
      <c r="O21" s="90">
        <f t="shared" si="8"/>
        <v>51</v>
      </c>
      <c r="P21" s="88">
        <v>43566</v>
      </c>
      <c r="Q21" s="88"/>
      <c r="R21" s="488">
        <v>41740</v>
      </c>
      <c r="S21" s="487">
        <v>181054</v>
      </c>
      <c r="T21" s="89">
        <f t="shared" si="9"/>
        <v>6035.1333333333332</v>
      </c>
      <c r="U21" s="233">
        <f t="shared" si="10"/>
        <v>193124.26666666666</v>
      </c>
      <c r="V21" s="233">
        <f t="shared" si="11"/>
        <v>3017.5666666666666</v>
      </c>
      <c r="W21" s="233">
        <f t="shared" si="12"/>
        <v>15087.833333333332</v>
      </c>
      <c r="X21" s="125">
        <f t="shared" si="13"/>
        <v>178036.43333333332</v>
      </c>
      <c r="Y21" s="100">
        <f t="shared" si="14"/>
        <v>112.72199999999999</v>
      </c>
      <c r="Z21" s="480">
        <v>112.88800000000001</v>
      </c>
      <c r="AA21" s="98">
        <f t="shared" si="15"/>
        <v>0.99852951598044071</v>
      </c>
      <c r="AB21" s="98">
        <f t="shared" si="16"/>
        <v>3069.5936781609194</v>
      </c>
      <c r="AC21" s="98">
        <f t="shared" si="17"/>
        <v>3065.0798897106433</v>
      </c>
      <c r="AD21" s="98"/>
      <c r="AE21" s="98"/>
      <c r="AF21" s="98"/>
      <c r="AG21" s="98"/>
      <c r="AH21" s="98"/>
      <c r="AI21" s="98">
        <f t="shared" si="24"/>
        <v>3065.0798897106433</v>
      </c>
      <c r="AJ21" s="98">
        <f t="shared" si="24"/>
        <v>3065.0798897106433</v>
      </c>
      <c r="AK21" s="98">
        <f t="shared" si="26"/>
        <v>3065.0798897106433</v>
      </c>
      <c r="AL21" s="98">
        <f t="shared" si="26"/>
        <v>3065.0798897106433</v>
      </c>
      <c r="AM21" s="98">
        <f t="shared" si="26"/>
        <v>3065.0798897106433</v>
      </c>
      <c r="AN21" s="98">
        <f t="shared" si="26"/>
        <v>3065.0798897106433</v>
      </c>
      <c r="AO21" s="98">
        <f t="shared" si="26"/>
        <v>3065.0798897106433</v>
      </c>
      <c r="AP21" s="116">
        <f>SUM(AI21:AN21)</f>
        <v>18390.47933826386</v>
      </c>
      <c r="AQ21" s="116">
        <f>X21-AP21</f>
        <v>159645.95399506946</v>
      </c>
      <c r="AR21" s="98">
        <f t="shared" si="27"/>
        <v>3065.0798897106433</v>
      </c>
      <c r="AS21" s="98">
        <f t="shared" si="27"/>
        <v>3065.0798897106433</v>
      </c>
      <c r="AT21" s="98">
        <f t="shared" si="28"/>
        <v>3065.0798897106433</v>
      </c>
      <c r="AU21" s="98">
        <f t="shared" si="28"/>
        <v>3065.0798897106433</v>
      </c>
      <c r="AV21" s="98">
        <f t="shared" si="28"/>
        <v>3065.0798897106433</v>
      </c>
      <c r="AW21" s="502">
        <v>115.958</v>
      </c>
      <c r="AX21" s="480">
        <v>112.88800000000001</v>
      </c>
      <c r="AY21" s="98">
        <f t="shared" si="21"/>
        <v>1.0271950960243781</v>
      </c>
      <c r="AZ21" s="98">
        <f>V21*AY21</f>
        <v>3099.629681926629</v>
      </c>
      <c r="BA21" s="98">
        <f t="shared" si="29"/>
        <v>3099.629681926629</v>
      </c>
      <c r="BB21" s="98">
        <f t="shared" si="29"/>
        <v>3099.629681926629</v>
      </c>
      <c r="BC21" s="98">
        <f t="shared" si="29"/>
        <v>3099.629681926629</v>
      </c>
      <c r="BD21" s="98">
        <f t="shared" si="29"/>
        <v>3099.629681926629</v>
      </c>
      <c r="BE21" s="98">
        <f t="shared" si="29"/>
        <v>3099.629681926629</v>
      </c>
      <c r="BF21" s="98">
        <f t="shared" si="29"/>
        <v>3099.629681926629</v>
      </c>
      <c r="BG21" s="106">
        <f t="shared" si="23"/>
        <v>37022.807222039613</v>
      </c>
      <c r="BH21" s="106">
        <f>AQ21-BG21</f>
        <v>122623.14677302985</v>
      </c>
    </row>
    <row r="22" spans="1:60" x14ac:dyDescent="0.2">
      <c r="A22" s="503" t="s">
        <v>1040</v>
      </c>
      <c r="B22" s="493"/>
      <c r="C22" s="101"/>
      <c r="D22" s="91"/>
      <c r="E22" s="88"/>
      <c r="F22" s="90"/>
      <c r="G22" s="201"/>
      <c r="H22" s="233"/>
      <c r="I22" s="90"/>
      <c r="J22" s="233"/>
      <c r="K22" s="90"/>
      <c r="L22" s="233"/>
      <c r="M22" s="90"/>
      <c r="N22" s="233"/>
      <c r="O22" s="90"/>
      <c r="P22" s="88"/>
      <c r="Q22" s="88"/>
      <c r="R22" s="488"/>
      <c r="S22" s="487"/>
      <c r="T22" s="89"/>
      <c r="U22" s="233"/>
      <c r="V22" s="233"/>
      <c r="W22" s="233"/>
      <c r="X22" s="125"/>
      <c r="Y22" s="100"/>
      <c r="Z22" s="48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  <c r="AQ22" s="116">
        <f t="shared" ref="AQ22:AQ23" si="30">X22-AP22</f>
        <v>0</v>
      </c>
      <c r="AR22" s="98"/>
      <c r="AS22" s="98"/>
      <c r="AT22" s="98"/>
      <c r="AU22" s="98"/>
      <c r="AV22" s="98"/>
      <c r="AW22" s="502"/>
      <c r="AX22" s="480"/>
      <c r="AY22" s="98"/>
      <c r="AZ22" s="98"/>
      <c r="BA22" s="98"/>
      <c r="BB22" s="98"/>
      <c r="BC22" s="98"/>
      <c r="BD22" s="98"/>
      <c r="BE22" s="98"/>
      <c r="BF22" s="98"/>
      <c r="BG22" s="106"/>
      <c r="BH22" s="106">
        <f t="shared" ref="BH22:BH23" si="31">AQ22-BG22</f>
        <v>0</v>
      </c>
    </row>
    <row r="23" spans="1:60" x14ac:dyDescent="0.2">
      <c r="A23" s="87" t="s">
        <v>1039</v>
      </c>
      <c r="B23" s="244" t="s">
        <v>1005</v>
      </c>
      <c r="C23" s="101">
        <f>5</f>
        <v>5</v>
      </c>
      <c r="D23" s="91">
        <v>0.2</v>
      </c>
      <c r="E23" s="88">
        <v>41820</v>
      </c>
      <c r="F23" s="90">
        <f>C23*12</f>
        <v>60</v>
      </c>
      <c r="G23" s="201">
        <f>100/F23</f>
        <v>1.6666666666666667</v>
      </c>
      <c r="H23" s="233">
        <f>G23*I23</f>
        <v>103.33333333333334</v>
      </c>
      <c r="I23" s="90">
        <f>(YEAR(E23)-YEAR(R23))*12+MONTH(E23)-MONTH(R23)</f>
        <v>62</v>
      </c>
      <c r="J23" s="233">
        <f>K23*G23</f>
        <v>-3.3333333333333335</v>
      </c>
      <c r="K23" s="90">
        <f>F23-I23</f>
        <v>-2</v>
      </c>
      <c r="L23" s="233">
        <f>M23*G23</f>
        <v>13.333333333333334</v>
      </c>
      <c r="M23" s="90">
        <v>8</v>
      </c>
      <c r="N23" s="233">
        <f>O23*G23</f>
        <v>-16.666666666666668</v>
      </c>
      <c r="O23" s="90">
        <f>K23-M23</f>
        <v>-10</v>
      </c>
      <c r="P23" s="88">
        <v>41750</v>
      </c>
      <c r="Q23" s="88"/>
      <c r="R23" s="488">
        <v>39924</v>
      </c>
      <c r="S23" s="487">
        <v>700000</v>
      </c>
      <c r="T23" s="89">
        <f>S23*H23%</f>
        <v>723333.33333333337</v>
      </c>
      <c r="U23" s="233">
        <f>S23-(((2014-YEAR(R23))*12-MONTH(R23))*V23)</f>
        <v>46666.666666666744</v>
      </c>
      <c r="V23" s="233">
        <f>S23*G23%</f>
        <v>11666.666666666666</v>
      </c>
      <c r="W23" s="233">
        <f>U23</f>
        <v>46666.666666666744</v>
      </c>
      <c r="X23" s="125">
        <v>1</v>
      </c>
      <c r="Y23" s="100">
        <f>112.722</f>
        <v>112.72199999999999</v>
      </c>
      <c r="Z23" s="480">
        <v>135.613</v>
      </c>
      <c r="AA23" s="98">
        <f>Y23/Z23</f>
        <v>0.83120349818970152</v>
      </c>
      <c r="AB23" s="98"/>
      <c r="AC23" s="98">
        <f>AB23*AA23</f>
        <v>0</v>
      </c>
      <c r="AD23" s="98"/>
      <c r="AE23" s="98"/>
      <c r="AF23" s="98"/>
      <c r="AG23" s="98"/>
      <c r="AH23" s="98"/>
      <c r="AI23" s="98">
        <f t="shared" ref="AI23:AO23" si="32">$AC23</f>
        <v>0</v>
      </c>
      <c r="AJ23" s="98">
        <f t="shared" si="32"/>
        <v>0</v>
      </c>
      <c r="AK23" s="98">
        <f t="shared" si="32"/>
        <v>0</v>
      </c>
      <c r="AL23" s="98">
        <f t="shared" si="32"/>
        <v>0</v>
      </c>
      <c r="AM23" s="98">
        <f t="shared" si="32"/>
        <v>0</v>
      </c>
      <c r="AN23" s="98">
        <f t="shared" si="32"/>
        <v>0</v>
      </c>
      <c r="AO23" s="98">
        <f t="shared" si="32"/>
        <v>0</v>
      </c>
      <c r="AP23" s="116">
        <f>SUM(AI23:AN23)</f>
        <v>0</v>
      </c>
      <c r="AQ23" s="116">
        <f t="shared" si="30"/>
        <v>1</v>
      </c>
      <c r="AR23" s="98">
        <f>$AC23</f>
        <v>0</v>
      </c>
      <c r="AS23" s="98">
        <f>$AC23</f>
        <v>0</v>
      </c>
      <c r="AT23" s="98">
        <f>$AC23</f>
        <v>0</v>
      </c>
      <c r="AU23" s="98">
        <f>$AC23</f>
        <v>0</v>
      </c>
      <c r="AV23" s="98">
        <f>$AC23</f>
        <v>0</v>
      </c>
      <c r="AW23" s="502">
        <v>115.958</v>
      </c>
      <c r="AX23" s="480">
        <v>135.613</v>
      </c>
      <c r="AY23" s="98">
        <f>AW23/AX23</f>
        <v>0.85506551731766123</v>
      </c>
      <c r="AZ23" s="98"/>
      <c r="BA23" s="98">
        <f t="shared" ref="BA23:BF23" si="33">$AC23</f>
        <v>0</v>
      </c>
      <c r="BB23" s="98">
        <f t="shared" si="33"/>
        <v>0</v>
      </c>
      <c r="BC23" s="98">
        <f t="shared" si="33"/>
        <v>0</v>
      </c>
      <c r="BD23" s="98">
        <f t="shared" si="33"/>
        <v>0</v>
      </c>
      <c r="BE23" s="98">
        <f t="shared" si="33"/>
        <v>0</v>
      </c>
      <c r="BF23" s="98">
        <f t="shared" si="33"/>
        <v>0</v>
      </c>
      <c r="BG23" s="106">
        <f>(SUM(AR23:AV23))+(SUM(AZ23:BF23))</f>
        <v>0</v>
      </c>
      <c r="BH23" s="106">
        <f t="shared" si="31"/>
        <v>1</v>
      </c>
    </row>
    <row r="25" spans="1:60" x14ac:dyDescent="0.2">
      <c r="BF25" s="527">
        <f t="shared" ref="BF25:BG25" si="34">SUM(BF14:BF23)</f>
        <v>13865.062173147933</v>
      </c>
      <c r="BG25" s="527">
        <f t="shared" si="34"/>
        <v>174486.52826942669</v>
      </c>
      <c r="BH25" s="527">
        <f>SUM(BH14:BH23)</f>
        <v>376800.20429674792</v>
      </c>
    </row>
  </sheetData>
  <sortState ref="A14:BI21">
    <sortCondition ref="A14"/>
  </sortState>
  <mergeCells count="25">
    <mergeCell ref="A11:A12"/>
    <mergeCell ref="B11:B12"/>
    <mergeCell ref="D11:D12"/>
    <mergeCell ref="E11:E12"/>
    <mergeCell ref="F11:F12"/>
    <mergeCell ref="C10:O10"/>
    <mergeCell ref="Q10:S10"/>
    <mergeCell ref="T10:AO10"/>
    <mergeCell ref="G11:G12"/>
    <mergeCell ref="H11:H12"/>
    <mergeCell ref="I11:I12"/>
    <mergeCell ref="J11:J12"/>
    <mergeCell ref="K11:K12"/>
    <mergeCell ref="L11:L12"/>
    <mergeCell ref="X11:X12"/>
    <mergeCell ref="AB11:AB12"/>
    <mergeCell ref="AC11:AC12"/>
    <mergeCell ref="Q11:Q12"/>
    <mergeCell ref="R11:R12"/>
    <mergeCell ref="S11:S12"/>
    <mergeCell ref="T11:T12"/>
    <mergeCell ref="U11:U12"/>
    <mergeCell ref="W11:W12"/>
    <mergeCell ref="N11:N12"/>
    <mergeCell ref="P11:P12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16"/>
  <sheetViews>
    <sheetView zoomScale="115" zoomScaleNormal="115" workbookViewId="0">
      <selection activeCell="R32" sqref="R32"/>
    </sheetView>
  </sheetViews>
  <sheetFormatPr baseColWidth="10" defaultRowHeight="12.75" x14ac:dyDescent="0.2"/>
  <cols>
    <col min="1" max="1" width="11.42578125" style="540"/>
    <col min="2" max="2" width="36.140625" style="535" customWidth="1"/>
    <col min="3" max="3" width="11.42578125" customWidth="1"/>
    <col min="4" max="4" width="7.5703125" customWidth="1"/>
    <col min="5" max="5" width="7" customWidth="1"/>
    <col min="6" max="6" width="10.42578125" hidden="1" customWidth="1"/>
    <col min="7" max="7" width="7.140625" customWidth="1"/>
    <col min="8" max="8" width="8.5703125" hidden="1" customWidth="1"/>
    <col min="9" max="9" width="7" hidden="1" customWidth="1"/>
    <col min="10" max="10" width="7.28515625" hidden="1" customWidth="1"/>
    <col min="11" max="11" width="7.85546875" hidden="1" customWidth="1"/>
    <col min="12" max="13" width="7.140625" hidden="1" customWidth="1"/>
    <col min="14" max="14" width="8.140625" hidden="1" customWidth="1"/>
    <col min="15" max="15" width="7.7109375" hidden="1" customWidth="1"/>
    <col min="16" max="16" width="10.7109375" hidden="1" customWidth="1"/>
    <col min="17" max="17" width="11.42578125" customWidth="1"/>
    <col min="18" max="18" width="17" customWidth="1"/>
    <col min="19" max="19" width="11.42578125" customWidth="1"/>
    <col min="20" max="20" width="13.28515625" bestFit="1" customWidth="1"/>
    <col min="21" max="21" width="0" hidden="1" customWidth="1"/>
    <col min="22" max="22" width="11.42578125" hidden="1" customWidth="1"/>
    <col min="23" max="24" width="0" hidden="1" customWidth="1"/>
    <col min="25" max="25" width="11.7109375" hidden="1" customWidth="1"/>
    <col min="26" max="28" width="11.42578125" hidden="1" customWidth="1"/>
    <col min="29" max="30" width="0" hidden="1" customWidth="1"/>
    <col min="31" max="41" width="11.42578125" hidden="1" customWidth="1"/>
    <col min="42" max="43" width="11.7109375" hidden="1" customWidth="1"/>
    <col min="44" max="44" width="14.42578125" hidden="1" customWidth="1"/>
  </cols>
  <sheetData>
    <row r="1" spans="1:44" x14ac:dyDescent="0.2">
      <c r="A1" s="538"/>
      <c r="B1" s="531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543"/>
      <c r="AQ1" s="544"/>
      <c r="AR1" s="544"/>
    </row>
    <row r="2" spans="1:44" x14ac:dyDescent="0.2">
      <c r="A2" s="538"/>
      <c r="B2" s="531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543"/>
      <c r="AQ2" s="544"/>
      <c r="AR2" s="544"/>
    </row>
    <row r="3" spans="1:44" x14ac:dyDescent="0.2">
      <c r="A3" s="538"/>
      <c r="B3" s="532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543"/>
      <c r="AQ3" s="544"/>
      <c r="AR3" s="544"/>
    </row>
    <row r="4" spans="1:44" x14ac:dyDescent="0.2">
      <c r="A4" s="538"/>
      <c r="B4" s="532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543"/>
      <c r="AQ4" s="544"/>
      <c r="AR4" s="544"/>
    </row>
    <row r="5" spans="1:44" x14ac:dyDescent="0.2">
      <c r="A5" s="538"/>
      <c r="B5" s="533" t="s">
        <v>950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543"/>
      <c r="AQ5" s="544"/>
      <c r="AR5" s="544"/>
    </row>
    <row r="6" spans="1:44" x14ac:dyDescent="0.2">
      <c r="A6" s="538"/>
      <c r="B6" s="532" t="s">
        <v>858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543"/>
      <c r="AQ6" s="544"/>
      <c r="AR6" s="544"/>
    </row>
    <row r="7" spans="1:44" x14ac:dyDescent="0.2">
      <c r="A7" s="538"/>
      <c r="B7" s="532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543"/>
      <c r="AQ7" s="544"/>
      <c r="AR7" s="544"/>
    </row>
    <row r="8" spans="1:44" x14ac:dyDescent="0.2">
      <c r="A8" s="539"/>
      <c r="B8" s="534"/>
      <c r="C8" s="22"/>
      <c r="D8" s="80"/>
      <c r="E8" s="8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112"/>
    </row>
    <row r="9" spans="1:44" x14ac:dyDescent="0.2">
      <c r="A9" s="539"/>
      <c r="B9" s="534"/>
      <c r="C9" s="22"/>
      <c r="D9" s="80"/>
      <c r="E9" s="8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112"/>
    </row>
    <row r="10" spans="1:44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</row>
    <row r="11" spans="1:44" ht="49.5" x14ac:dyDescent="0.25">
      <c r="A11" s="588" t="s">
        <v>60</v>
      </c>
      <c r="B11" s="590" t="s">
        <v>0</v>
      </c>
      <c r="C11" s="465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463" t="s">
        <v>680</v>
      </c>
      <c r="O11" s="556" t="s">
        <v>643</v>
      </c>
      <c r="P11" s="464" t="s">
        <v>681</v>
      </c>
      <c r="Q11" s="565" t="s">
        <v>679</v>
      </c>
      <c r="R11" s="561" t="s">
        <v>1071</v>
      </c>
      <c r="S11" s="561" t="s">
        <v>1003</v>
      </c>
      <c r="T11" s="563" t="s">
        <v>599</v>
      </c>
      <c r="U11" s="558" t="s">
        <v>1002</v>
      </c>
      <c r="V11" s="558" t="s">
        <v>747</v>
      </c>
      <c r="W11" s="462"/>
      <c r="X11" s="570" t="s">
        <v>720</v>
      </c>
      <c r="Y11" s="558" t="s">
        <v>750</v>
      </c>
      <c r="Z11" s="226" t="s">
        <v>16</v>
      </c>
      <c r="AA11" s="227" t="s">
        <v>16</v>
      </c>
      <c r="AB11" s="226" t="s">
        <v>17</v>
      </c>
      <c r="AC11" s="558" t="s">
        <v>678</v>
      </c>
      <c r="AD11" s="558" t="s">
        <v>687</v>
      </c>
      <c r="AE11" s="226" t="s">
        <v>3</v>
      </c>
      <c r="AF11" s="226" t="s">
        <v>4</v>
      </c>
      <c r="AG11" s="226" t="s">
        <v>5</v>
      </c>
      <c r="AH11" s="226" t="s">
        <v>6</v>
      </c>
      <c r="AI11" s="226" t="s">
        <v>7</v>
      </c>
      <c r="AJ11" s="226" t="s">
        <v>8</v>
      </c>
      <c r="AK11" s="226" t="s">
        <v>9</v>
      </c>
      <c r="AL11" s="226" t="s">
        <v>10</v>
      </c>
      <c r="AM11" s="226" t="s">
        <v>11</v>
      </c>
      <c r="AN11" s="226" t="s">
        <v>12</v>
      </c>
      <c r="AO11" s="226" t="s">
        <v>13</v>
      </c>
      <c r="AP11" s="226" t="s">
        <v>14</v>
      </c>
      <c r="AQ11" s="264" t="s">
        <v>682</v>
      </c>
      <c r="AR11" s="228" t="s">
        <v>66</v>
      </c>
    </row>
    <row r="12" spans="1:44" ht="33.75" x14ac:dyDescent="0.25">
      <c r="A12" s="589"/>
      <c r="B12" s="591"/>
      <c r="C12" s="229" t="s">
        <v>645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69"/>
      <c r="W12" s="466" t="s">
        <v>1001</v>
      </c>
      <c r="X12" s="573"/>
      <c r="Y12" s="559"/>
      <c r="Z12" s="230" t="s">
        <v>21</v>
      </c>
      <c r="AA12" s="231" t="s">
        <v>22</v>
      </c>
      <c r="AB12" s="230" t="s">
        <v>23</v>
      </c>
      <c r="AC12" s="559"/>
      <c r="AD12" s="559"/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 t="s">
        <v>67</v>
      </c>
    </row>
    <row r="13" spans="1:44" x14ac:dyDescent="0.2">
      <c r="A13" s="172" t="s">
        <v>960</v>
      </c>
      <c r="B13" s="536"/>
      <c r="C13" s="87"/>
      <c r="D13" s="101"/>
      <c r="E13" s="91"/>
      <c r="F13" s="88"/>
      <c r="G13" s="90"/>
      <c r="H13" s="201"/>
      <c r="I13" s="233"/>
      <c r="J13" s="90"/>
      <c r="K13" s="233"/>
      <c r="L13" s="90"/>
      <c r="M13" s="233"/>
      <c r="N13" s="90"/>
      <c r="O13" s="233"/>
      <c r="P13" s="90"/>
      <c r="Q13" s="88"/>
      <c r="R13" s="88"/>
      <c r="S13" s="88"/>
      <c r="T13" s="89"/>
      <c r="U13" s="89"/>
      <c r="V13" s="152"/>
      <c r="W13" s="233"/>
      <c r="X13" s="474"/>
      <c r="Y13" s="125"/>
      <c r="Z13" s="100"/>
      <c r="AA13" s="472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116"/>
      <c r="AR13" s="116"/>
    </row>
    <row r="14" spans="1:44" x14ac:dyDescent="0.2">
      <c r="A14" s="145" t="s">
        <v>1124</v>
      </c>
      <c r="B14" s="537" t="s">
        <v>954</v>
      </c>
      <c r="C14" s="87" t="s">
        <v>950</v>
      </c>
      <c r="D14" s="101">
        <v>25</v>
      </c>
      <c r="E14" s="91">
        <v>0.04</v>
      </c>
      <c r="F14" s="88">
        <v>42185</v>
      </c>
      <c r="G14" s="90">
        <v>300</v>
      </c>
      <c r="H14" s="201">
        <v>0.33333333333333331</v>
      </c>
      <c r="I14" s="233">
        <v>1.6666666666666665</v>
      </c>
      <c r="J14" s="90">
        <v>5</v>
      </c>
      <c r="K14" s="233">
        <v>98.333333333333329</v>
      </c>
      <c r="L14" s="90">
        <v>295</v>
      </c>
      <c r="M14" s="233">
        <v>2.333333333333333</v>
      </c>
      <c r="N14" s="90">
        <v>7</v>
      </c>
      <c r="O14" s="233">
        <v>96</v>
      </c>
      <c r="P14" s="90">
        <v>288</v>
      </c>
      <c r="Q14" s="88">
        <v>51136</v>
      </c>
      <c r="R14" s="88" t="s">
        <v>1089</v>
      </c>
      <c r="S14" s="88">
        <v>42005</v>
      </c>
      <c r="T14" s="89">
        <v>260000</v>
      </c>
      <c r="U14" s="89">
        <f>T14*I14%</f>
        <v>4333.333333333333</v>
      </c>
      <c r="V14" s="152">
        <v>260000</v>
      </c>
      <c r="W14" s="233">
        <f>T14*H14%</f>
        <v>866.66666666666663</v>
      </c>
      <c r="X14" s="474">
        <f>W14*5</f>
        <v>4333.333333333333</v>
      </c>
      <c r="Y14" s="125">
        <f>V14-X14</f>
        <v>255666.66666666666</v>
      </c>
      <c r="Z14" s="100">
        <v>115.958</v>
      </c>
      <c r="AA14" s="472">
        <v>115.95399999999999</v>
      </c>
      <c r="AB14" s="98">
        <v>1.0000344964382428</v>
      </c>
      <c r="AC14" s="98">
        <f>Y14*M14/100/K14*100/7</f>
        <v>866.66666666666663</v>
      </c>
      <c r="AD14" s="98">
        <f>AC14*AB14</f>
        <v>866.69656357981046</v>
      </c>
      <c r="AE14" s="98"/>
      <c r="AF14" s="98"/>
      <c r="AG14" s="98"/>
      <c r="AH14" s="98"/>
      <c r="AI14" s="98"/>
      <c r="AJ14" s="98">
        <v>866.7</v>
      </c>
      <c r="AK14" s="98">
        <v>866.7</v>
      </c>
      <c r="AL14" s="98">
        <v>866.7</v>
      </c>
      <c r="AM14" s="98">
        <v>866.7</v>
      </c>
      <c r="AN14" s="98">
        <v>866.7</v>
      </c>
      <c r="AO14" s="98">
        <v>866.7</v>
      </c>
      <c r="AP14" s="98">
        <v>866.7</v>
      </c>
      <c r="AQ14" s="116">
        <f>SUM(AE14:AP14)</f>
        <v>6066.9</v>
      </c>
      <c r="AR14" s="116">
        <f>Y14-AQ14</f>
        <v>249599.76666666666</v>
      </c>
    </row>
    <row r="15" spans="1:44" x14ac:dyDescent="0.2">
      <c r="A15" s="145" t="s">
        <v>1122</v>
      </c>
      <c r="B15" s="537" t="s">
        <v>953</v>
      </c>
      <c r="C15" s="87" t="s">
        <v>950</v>
      </c>
      <c r="D15" s="101">
        <v>25</v>
      </c>
      <c r="E15" s="91">
        <v>0.04</v>
      </c>
      <c r="F15" s="88">
        <v>42185</v>
      </c>
      <c r="G15" s="90">
        <v>300</v>
      </c>
      <c r="H15" s="201">
        <v>0.33333333333333331</v>
      </c>
      <c r="I15" s="233">
        <v>1.6666666666666665</v>
      </c>
      <c r="J15" s="90">
        <v>5</v>
      </c>
      <c r="K15" s="233">
        <v>98.333333333333329</v>
      </c>
      <c r="L15" s="90">
        <v>295</v>
      </c>
      <c r="M15" s="233">
        <v>2.333333333333333</v>
      </c>
      <c r="N15" s="90">
        <v>7</v>
      </c>
      <c r="O15" s="233">
        <v>96</v>
      </c>
      <c r="P15" s="90">
        <v>288</v>
      </c>
      <c r="Q15" s="88">
        <v>51136</v>
      </c>
      <c r="R15" s="88" t="s">
        <v>1123</v>
      </c>
      <c r="S15" s="88">
        <v>42005</v>
      </c>
      <c r="T15" s="89">
        <v>63000</v>
      </c>
      <c r="U15" s="89">
        <f>T15*I15%</f>
        <v>1050</v>
      </c>
      <c r="V15" s="152">
        <v>63000</v>
      </c>
      <c r="W15" s="233">
        <f>T15*H15%</f>
        <v>210</v>
      </c>
      <c r="X15" s="474">
        <f>W15*5</f>
        <v>1050</v>
      </c>
      <c r="Y15" s="125">
        <f>V15-X15</f>
        <v>61950</v>
      </c>
      <c r="Z15" s="100">
        <v>115.958</v>
      </c>
      <c r="AA15" s="472">
        <v>115.95399999999999</v>
      </c>
      <c r="AB15" s="98">
        <v>1.0000344964382428</v>
      </c>
      <c r="AC15" s="98">
        <f>Y15*M15/100/K15*100/7</f>
        <v>209.99999999999997</v>
      </c>
      <c r="AD15" s="98">
        <f>AC15*AB15</f>
        <v>210.00724425203097</v>
      </c>
      <c r="AE15" s="98"/>
      <c r="AF15" s="98"/>
      <c r="AG15" s="98"/>
      <c r="AH15" s="98"/>
      <c r="AI15" s="98"/>
      <c r="AJ15" s="98">
        <v>210.00724425203097</v>
      </c>
      <c r="AK15" s="98">
        <v>210.00724425203097</v>
      </c>
      <c r="AL15" s="98">
        <v>210.00724425203097</v>
      </c>
      <c r="AM15" s="98">
        <v>210.00724425203097</v>
      </c>
      <c r="AN15" s="98">
        <v>210.00724425203097</v>
      </c>
      <c r="AO15" s="98">
        <v>210.00724425203097</v>
      </c>
      <c r="AP15" s="98">
        <f>$AD15</f>
        <v>210.00724425203097</v>
      </c>
      <c r="AQ15" s="116">
        <f>SUM(AE15:AP15)</f>
        <v>1470.0507097642167</v>
      </c>
      <c r="AR15" s="116">
        <f>Y15-AQ15</f>
        <v>60479.949290235782</v>
      </c>
    </row>
    <row r="16" spans="1:44" x14ac:dyDescent="0.2">
      <c r="T16" s="545">
        <f>SUM(T14:T15)</f>
        <v>323000</v>
      </c>
      <c r="AJ16" s="17">
        <f t="shared" ref="AJ16:AR16" si="0">SUM(AJ14:AJ15)</f>
        <v>1076.7072442520309</v>
      </c>
      <c r="AK16" s="17">
        <f t="shared" si="0"/>
        <v>1076.7072442520309</v>
      </c>
      <c r="AL16" s="17">
        <f t="shared" si="0"/>
        <v>1076.7072442520309</v>
      </c>
      <c r="AM16" s="17">
        <f t="shared" si="0"/>
        <v>1076.7072442520309</v>
      </c>
      <c r="AN16" s="17">
        <f t="shared" si="0"/>
        <v>1076.7072442520309</v>
      </c>
      <c r="AO16" s="17">
        <f t="shared" si="0"/>
        <v>1076.7072442520309</v>
      </c>
      <c r="AP16" s="17">
        <f t="shared" si="0"/>
        <v>1076.7072442520309</v>
      </c>
      <c r="AQ16" s="17">
        <f t="shared" si="0"/>
        <v>7536.9507097642163</v>
      </c>
      <c r="AR16" s="17">
        <f t="shared" si="0"/>
        <v>310079.71595690242</v>
      </c>
    </row>
  </sheetData>
  <mergeCells count="25">
    <mergeCell ref="Y11:Y12"/>
    <mergeCell ref="AC11:AC12"/>
    <mergeCell ref="AD11:AD12"/>
    <mergeCell ref="R11:R12"/>
    <mergeCell ref="S11:S12"/>
    <mergeCell ref="T11:T12"/>
    <mergeCell ref="U11:U12"/>
    <mergeCell ref="V11:V12"/>
    <mergeCell ref="X11:X12"/>
    <mergeCell ref="Q11:Q12"/>
    <mergeCell ref="D10:P10"/>
    <mergeCell ref="R10:T10"/>
    <mergeCell ref="U10:AR10"/>
    <mergeCell ref="A11:A12"/>
    <mergeCell ref="B11:B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O11:O1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H43"/>
  <sheetViews>
    <sheetView topLeftCell="A24" zoomScale="175" zoomScaleNormal="175" workbookViewId="0">
      <selection activeCell="A24" sqref="A24:B43"/>
    </sheetView>
  </sheetViews>
  <sheetFormatPr baseColWidth="10" defaultRowHeight="12.75" x14ac:dyDescent="0.2"/>
  <cols>
    <col min="2" max="2" width="27.140625" customWidth="1"/>
    <col min="3" max="3" width="7.42578125" customWidth="1"/>
    <col min="4" max="4" width="6.42578125" bestFit="1" customWidth="1"/>
    <col min="5" max="5" width="11.28515625" bestFit="1" customWidth="1"/>
    <col min="6" max="6" width="8" customWidth="1"/>
    <col min="7" max="7" width="10.140625" hidden="1" customWidth="1"/>
    <col min="8" max="8" width="9.140625" hidden="1" customWidth="1"/>
    <col min="9" max="9" width="6.5703125" hidden="1" customWidth="1"/>
    <col min="10" max="10" width="7.42578125" hidden="1" customWidth="1"/>
    <col min="11" max="11" width="8.5703125" hidden="1" customWidth="1"/>
    <col min="12" max="12" width="8.140625" hidden="1" customWidth="1"/>
    <col min="13" max="13" width="8.5703125" hidden="1" customWidth="1"/>
    <col min="14" max="14" width="9.5703125" hidden="1" customWidth="1"/>
    <col min="15" max="15" width="10" hidden="1" customWidth="1"/>
    <col min="16" max="16" width="9" bestFit="1" customWidth="1"/>
    <col min="17" max="17" width="11.42578125" hidden="1" customWidth="1"/>
    <col min="18" max="18" width="10.140625" bestFit="1" customWidth="1"/>
    <col min="19" max="19" width="11.42578125" customWidth="1"/>
    <col min="20" max="20" width="11.42578125" hidden="1" customWidth="1"/>
    <col min="21" max="24" width="11.42578125" customWidth="1"/>
    <col min="25" max="27" width="11.42578125" hidden="1" customWidth="1"/>
    <col min="28" max="29" width="11.42578125" customWidth="1"/>
    <col min="30" max="41" width="11.42578125" hidden="1" customWidth="1"/>
    <col min="42" max="43" width="11.42578125" customWidth="1"/>
    <col min="44" max="48" width="11.42578125" hidden="1" customWidth="1"/>
    <col min="49" max="51" width="11.42578125" customWidth="1"/>
    <col min="52" max="57" width="11.42578125" hidden="1" customWidth="1"/>
    <col min="58" max="58" width="11.42578125" customWidth="1"/>
  </cols>
  <sheetData>
    <row r="1" spans="1:60" x14ac:dyDescent="0.2">
      <c r="A1" s="137"/>
      <c r="B1" s="142" t="s">
        <v>29</v>
      </c>
      <c r="C1" s="138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6"/>
      <c r="R1" s="136"/>
      <c r="S1" s="137"/>
      <c r="T1" s="137"/>
      <c r="U1" s="147"/>
      <c r="V1" s="139"/>
      <c r="W1" s="139"/>
      <c r="X1" s="140"/>
      <c r="Y1" s="139"/>
      <c r="Z1" s="139"/>
      <c r="AA1" s="139"/>
      <c r="AB1" s="139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9" t="s">
        <v>454</v>
      </c>
      <c r="AN1" s="137"/>
      <c r="AO1" s="1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</row>
    <row r="2" spans="1:60" x14ac:dyDescent="0.2">
      <c r="A2" s="137"/>
      <c r="B2" s="142" t="s">
        <v>612</v>
      </c>
      <c r="C2" s="138"/>
      <c r="D2" s="138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6"/>
      <c r="R2" s="136"/>
      <c r="S2" s="137"/>
      <c r="T2" s="137"/>
      <c r="U2" s="147"/>
      <c r="V2" s="139"/>
      <c r="W2" s="139"/>
      <c r="X2" s="140"/>
      <c r="Y2" s="139"/>
      <c r="Z2" s="139"/>
      <c r="AA2" s="139"/>
      <c r="AB2" s="139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41"/>
      <c r="AP2" s="541"/>
      <c r="AQ2" s="541"/>
      <c r="AR2" s="541"/>
      <c r="AS2" s="541"/>
      <c r="AT2" s="541"/>
      <c r="AU2" s="541"/>
      <c r="AV2" s="541"/>
      <c r="AW2" s="541"/>
      <c r="AX2" s="541"/>
      <c r="AY2" s="541"/>
      <c r="AZ2" s="541"/>
      <c r="BA2" s="541"/>
      <c r="BB2" s="541"/>
      <c r="BC2" s="541"/>
      <c r="BD2" s="541"/>
      <c r="BE2" s="541"/>
      <c r="BF2" s="541"/>
      <c r="BG2" s="541"/>
      <c r="BH2" s="541"/>
    </row>
    <row r="3" spans="1:60" x14ac:dyDescent="0.2">
      <c r="A3" s="137"/>
      <c r="B3" s="137"/>
      <c r="C3" s="143"/>
      <c r="D3" s="13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2"/>
      <c r="R3" s="142"/>
      <c r="S3" s="144"/>
      <c r="T3" s="144"/>
      <c r="U3" s="148"/>
      <c r="V3" s="139"/>
      <c r="W3" s="139"/>
      <c r="X3" s="140"/>
      <c r="Y3" s="139"/>
      <c r="Z3" s="139"/>
      <c r="AA3" s="139"/>
      <c r="AB3" s="139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41"/>
      <c r="AP3" s="541"/>
      <c r="AQ3" s="541"/>
      <c r="AR3" s="541"/>
      <c r="AS3" s="541"/>
      <c r="AT3" s="541"/>
      <c r="AU3" s="541"/>
      <c r="AV3" s="541"/>
      <c r="AW3" s="541"/>
      <c r="AX3" s="541"/>
      <c r="AY3" s="541"/>
      <c r="AZ3" s="541"/>
      <c r="BA3" s="541"/>
      <c r="BB3" s="541"/>
      <c r="BC3" s="541"/>
      <c r="BD3" s="541"/>
      <c r="BE3" s="541"/>
      <c r="BF3" s="541"/>
      <c r="BG3" s="541"/>
      <c r="BH3" s="541"/>
    </row>
    <row r="4" spans="1:60" x14ac:dyDescent="0.2">
      <c r="A4" s="137"/>
      <c r="B4" s="137" t="s">
        <v>452</v>
      </c>
      <c r="C4" s="143"/>
      <c r="D4" s="138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2"/>
      <c r="R4" s="142"/>
      <c r="S4" s="144"/>
      <c r="T4" s="144"/>
      <c r="U4" s="148"/>
      <c r="V4" s="139"/>
      <c r="W4" s="139"/>
      <c r="X4" s="140"/>
      <c r="Y4" s="139"/>
      <c r="Z4" s="139"/>
      <c r="AA4" s="139"/>
      <c r="AB4" s="13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41"/>
      <c r="AP4" s="541"/>
      <c r="AQ4" s="541"/>
      <c r="AR4" s="541"/>
      <c r="AS4" s="541"/>
      <c r="AT4" s="541"/>
      <c r="AU4" s="541"/>
      <c r="AV4" s="541"/>
      <c r="AW4" s="541"/>
      <c r="AX4" s="541"/>
      <c r="AY4" s="541"/>
      <c r="AZ4" s="541"/>
      <c r="BA4" s="541"/>
      <c r="BB4" s="541"/>
      <c r="BC4" s="541"/>
      <c r="BD4" s="541"/>
      <c r="BE4" s="541"/>
      <c r="BF4" s="541"/>
      <c r="BG4" s="541"/>
      <c r="BH4" s="541"/>
    </row>
    <row r="5" spans="1:60" x14ac:dyDescent="0.2">
      <c r="A5" s="137"/>
      <c r="B5" s="144" t="s">
        <v>479</v>
      </c>
      <c r="C5" s="138"/>
      <c r="D5" s="138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6"/>
      <c r="R5" s="136"/>
      <c r="S5" s="137"/>
      <c r="T5" s="137"/>
      <c r="U5" s="147"/>
      <c r="V5" s="139"/>
      <c r="W5" s="139"/>
      <c r="X5" s="140"/>
      <c r="Y5" s="139"/>
      <c r="Z5" s="139"/>
      <c r="AA5" s="139"/>
      <c r="AB5" s="139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41"/>
      <c r="AP5" s="541"/>
      <c r="AQ5" s="541"/>
      <c r="AR5" s="541"/>
      <c r="AS5" s="541"/>
      <c r="AT5" s="541"/>
      <c r="AU5" s="541"/>
      <c r="AV5" s="541"/>
      <c r="AW5" s="541"/>
      <c r="AX5" s="541"/>
      <c r="AY5" s="541"/>
      <c r="AZ5" s="541"/>
      <c r="BA5" s="541"/>
      <c r="BB5" s="541"/>
      <c r="BC5" s="541"/>
      <c r="BD5" s="541"/>
      <c r="BE5" s="541"/>
      <c r="BF5" s="541"/>
      <c r="BG5" s="541"/>
      <c r="BH5" s="541"/>
    </row>
    <row r="6" spans="1:60" x14ac:dyDescent="0.2">
      <c r="A6" s="137"/>
      <c r="B6" s="137" t="s">
        <v>858</v>
      </c>
      <c r="C6" s="138"/>
      <c r="D6" s="138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6"/>
      <c r="R6" s="136"/>
      <c r="S6" s="137"/>
      <c r="T6" s="137"/>
      <c r="U6" s="147"/>
      <c r="V6" s="139"/>
      <c r="W6" s="139"/>
      <c r="X6" s="140"/>
      <c r="Y6" s="139"/>
      <c r="Z6" s="139"/>
      <c r="AA6" s="139"/>
      <c r="AB6" s="139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41"/>
      <c r="AP6" s="541"/>
      <c r="AQ6" s="541"/>
      <c r="AR6" s="541"/>
      <c r="AS6" s="541"/>
      <c r="AT6" s="541"/>
      <c r="AU6" s="541"/>
      <c r="AV6" s="541"/>
      <c r="AW6" s="541"/>
      <c r="AX6" s="541"/>
      <c r="AY6" s="541"/>
      <c r="AZ6" s="541"/>
      <c r="BA6" s="541"/>
      <c r="BB6" s="541"/>
      <c r="BC6" s="541"/>
      <c r="BD6" s="541"/>
      <c r="BE6" s="541"/>
      <c r="BF6" s="541"/>
      <c r="BG6" s="541"/>
      <c r="BH6" s="541"/>
    </row>
    <row r="7" spans="1:60" x14ac:dyDescent="0.2">
      <c r="A7" s="137"/>
      <c r="B7" s="137"/>
      <c r="C7" s="138"/>
      <c r="D7" s="138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6"/>
      <c r="R7" s="136"/>
      <c r="S7" s="137"/>
      <c r="T7" s="137"/>
      <c r="U7" s="147"/>
      <c r="V7" s="139"/>
      <c r="W7" s="139"/>
      <c r="X7" s="140"/>
      <c r="Y7" s="139"/>
      <c r="Z7" s="139"/>
      <c r="AA7" s="139"/>
      <c r="AB7" s="139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41"/>
      <c r="AP7" s="541"/>
      <c r="AQ7" s="541"/>
      <c r="AR7" s="541"/>
      <c r="AS7" s="541"/>
      <c r="AT7" s="541"/>
      <c r="AU7" s="541"/>
      <c r="AV7" s="541"/>
      <c r="AW7" s="541"/>
      <c r="AX7" s="541"/>
      <c r="AY7" s="541"/>
      <c r="AZ7" s="541"/>
      <c r="BA7" s="541"/>
      <c r="BB7" s="541"/>
      <c r="BC7" s="541"/>
      <c r="BD7" s="541"/>
      <c r="BE7" s="541"/>
      <c r="BF7" s="541"/>
      <c r="BG7" s="541"/>
      <c r="BH7" s="541"/>
    </row>
    <row r="8" spans="1:60" x14ac:dyDescent="0.2">
      <c r="A8" s="22"/>
      <c r="B8" s="22"/>
      <c r="C8" s="80"/>
      <c r="D8" s="80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79"/>
      <c r="R8" s="79"/>
      <c r="S8" s="56"/>
      <c r="T8" s="56"/>
      <c r="U8" s="149"/>
      <c r="V8" s="81"/>
      <c r="W8" s="81"/>
      <c r="X8" s="120"/>
      <c r="Y8" s="81"/>
      <c r="Z8" s="81"/>
      <c r="AA8" s="81"/>
      <c r="AB8" s="81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112"/>
    </row>
    <row r="9" spans="1:60" x14ac:dyDescent="0.2">
      <c r="A9" s="22"/>
      <c r="B9" s="22"/>
      <c r="C9" s="80"/>
      <c r="D9" s="80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79"/>
      <c r="R9" s="79"/>
      <c r="S9" s="56"/>
      <c r="T9" s="56"/>
      <c r="U9" s="149"/>
      <c r="V9" s="81"/>
      <c r="W9" s="81"/>
      <c r="X9" s="120"/>
      <c r="Y9" s="81"/>
      <c r="Z9" s="81"/>
      <c r="AA9" s="81"/>
      <c r="AB9" s="8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112"/>
    </row>
    <row r="10" spans="1:60" x14ac:dyDescent="0.2">
      <c r="C10" s="549" t="s">
        <v>683</v>
      </c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259"/>
      <c r="Q10" s="550" t="s">
        <v>598</v>
      </c>
      <c r="R10" s="550"/>
      <c r="S10" s="550"/>
      <c r="T10" s="551" t="s">
        <v>600</v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</row>
    <row r="11" spans="1:60" ht="57.75" x14ac:dyDescent="0.25">
      <c r="A11" s="552" t="s">
        <v>60</v>
      </c>
      <c r="B11" s="552" t="s">
        <v>0</v>
      </c>
      <c r="C11" s="234" t="s">
        <v>449</v>
      </c>
      <c r="D11" s="554" t="s">
        <v>58</v>
      </c>
      <c r="E11" s="556" t="s">
        <v>715</v>
      </c>
      <c r="F11" s="556" t="s">
        <v>596</v>
      </c>
      <c r="G11" s="556" t="s">
        <v>684</v>
      </c>
      <c r="H11" s="556" t="s">
        <v>1060</v>
      </c>
      <c r="I11" s="556" t="s">
        <v>1059</v>
      </c>
      <c r="J11" s="556" t="s">
        <v>685</v>
      </c>
      <c r="K11" s="556" t="s">
        <v>644</v>
      </c>
      <c r="L11" s="556" t="s">
        <v>1058</v>
      </c>
      <c r="M11" s="463" t="s">
        <v>680</v>
      </c>
      <c r="N11" s="556" t="s">
        <v>643</v>
      </c>
      <c r="O11" s="464" t="s">
        <v>681</v>
      </c>
      <c r="P11" s="565" t="s">
        <v>679</v>
      </c>
      <c r="Q11" s="561" t="s">
        <v>587</v>
      </c>
      <c r="R11" s="561" t="s">
        <v>59</v>
      </c>
      <c r="S11" s="563" t="s">
        <v>599</v>
      </c>
      <c r="T11" s="558" t="s">
        <v>1057</v>
      </c>
      <c r="U11" s="558" t="s">
        <v>1056</v>
      </c>
      <c r="V11" s="462"/>
      <c r="W11" s="570" t="s">
        <v>1055</v>
      </c>
      <c r="X11" s="558" t="s">
        <v>1054</v>
      </c>
      <c r="Y11" s="226" t="s">
        <v>16</v>
      </c>
      <c r="Z11" s="227" t="s">
        <v>16</v>
      </c>
      <c r="AA11" s="226" t="s">
        <v>17</v>
      </c>
      <c r="AB11" s="558" t="s">
        <v>1053</v>
      </c>
      <c r="AC11" s="558" t="s">
        <v>687</v>
      </c>
      <c r="AD11" s="226" t="s">
        <v>3</v>
      </c>
      <c r="AE11" s="226" t="s">
        <v>4</v>
      </c>
      <c r="AF11" s="226" t="s">
        <v>5</v>
      </c>
      <c r="AG11" s="226" t="s">
        <v>6</v>
      </c>
      <c r="AH11" s="226" t="s">
        <v>7</v>
      </c>
      <c r="AI11" s="226" t="s">
        <v>8</v>
      </c>
      <c r="AJ11" s="226" t="s">
        <v>9</v>
      </c>
      <c r="AK11" s="226" t="s">
        <v>10</v>
      </c>
      <c r="AL11" s="226" t="s">
        <v>11</v>
      </c>
      <c r="AM11" s="226" t="s">
        <v>12</v>
      </c>
      <c r="AN11" s="226" t="s">
        <v>13</v>
      </c>
      <c r="AO11" s="226" t="s">
        <v>14</v>
      </c>
      <c r="AP11" s="264" t="s">
        <v>682</v>
      </c>
      <c r="AQ11" s="228" t="s">
        <v>1051</v>
      </c>
      <c r="AR11" s="226" t="s">
        <v>3</v>
      </c>
      <c r="AS11" s="226" t="s">
        <v>4</v>
      </c>
      <c r="AT11" s="226" t="s">
        <v>5</v>
      </c>
      <c r="AU11" s="226" t="s">
        <v>6</v>
      </c>
      <c r="AV11" s="226" t="s">
        <v>7</v>
      </c>
      <c r="AW11" s="226" t="s">
        <v>16</v>
      </c>
      <c r="AX11" s="227" t="s">
        <v>16</v>
      </c>
      <c r="AY11" s="226" t="s">
        <v>17</v>
      </c>
      <c r="AZ11" s="226" t="s">
        <v>8</v>
      </c>
      <c r="BA11" s="226" t="s">
        <v>9</v>
      </c>
      <c r="BB11" s="226" t="s">
        <v>10</v>
      </c>
      <c r="BC11" s="226" t="s">
        <v>11</v>
      </c>
      <c r="BD11" s="226" t="s">
        <v>12</v>
      </c>
      <c r="BE11" s="226" t="s">
        <v>13</v>
      </c>
      <c r="BF11" s="226" t="s">
        <v>14</v>
      </c>
      <c r="BG11" s="264" t="s">
        <v>1052</v>
      </c>
      <c r="BH11" s="228" t="s">
        <v>1051</v>
      </c>
    </row>
    <row r="12" spans="1:60" ht="22.5" x14ac:dyDescent="0.25">
      <c r="A12" s="553"/>
      <c r="B12" s="553"/>
      <c r="C12" s="235"/>
      <c r="D12" s="555"/>
      <c r="E12" s="557"/>
      <c r="F12" s="557"/>
      <c r="G12" s="557"/>
      <c r="H12" s="557"/>
      <c r="I12" s="557"/>
      <c r="J12" s="557"/>
      <c r="K12" s="557"/>
      <c r="L12" s="557"/>
      <c r="M12" s="262">
        <v>42004</v>
      </c>
      <c r="N12" s="557"/>
      <c r="O12" s="261">
        <v>42005</v>
      </c>
      <c r="P12" s="566"/>
      <c r="Q12" s="562" t="s">
        <v>19</v>
      </c>
      <c r="R12" s="562" t="s">
        <v>19</v>
      </c>
      <c r="S12" s="564"/>
      <c r="T12" s="569"/>
      <c r="U12" s="569"/>
      <c r="V12" s="466" t="s">
        <v>1050</v>
      </c>
      <c r="W12" s="573"/>
      <c r="X12" s="559"/>
      <c r="Y12" s="230" t="s">
        <v>21</v>
      </c>
      <c r="Z12" s="231" t="s">
        <v>22</v>
      </c>
      <c r="AA12" s="230" t="s">
        <v>23</v>
      </c>
      <c r="AB12" s="559"/>
      <c r="AC12" s="559"/>
      <c r="AD12" s="230">
        <v>2014</v>
      </c>
      <c r="AE12" s="230">
        <v>2014</v>
      </c>
      <c r="AF12" s="230">
        <v>2014</v>
      </c>
      <c r="AG12" s="230">
        <v>2014</v>
      </c>
      <c r="AH12" s="230">
        <f>2014</f>
        <v>2014</v>
      </c>
      <c r="AI12" s="230">
        <f>2014</f>
        <v>2014</v>
      </c>
      <c r="AJ12" s="230">
        <f>2014</f>
        <v>2014</v>
      </c>
      <c r="AK12" s="230">
        <f>2014</f>
        <v>2014</v>
      </c>
      <c r="AL12" s="230">
        <f>2014</f>
        <v>2014</v>
      </c>
      <c r="AM12" s="230">
        <f>2014</f>
        <v>2014</v>
      </c>
      <c r="AN12" s="230">
        <f>2014</f>
        <v>2014</v>
      </c>
      <c r="AO12" s="230">
        <f>2014</f>
        <v>2014</v>
      </c>
      <c r="AP12" s="230">
        <f>2014</f>
        <v>2014</v>
      </c>
      <c r="AQ12" s="230" t="s">
        <v>1049</v>
      </c>
      <c r="AR12" s="230">
        <f>2015</f>
        <v>2015</v>
      </c>
      <c r="AS12" s="230">
        <f>2015</f>
        <v>2015</v>
      </c>
      <c r="AT12" s="230">
        <f>2015</f>
        <v>2015</v>
      </c>
      <c r="AU12" s="230">
        <f>2015</f>
        <v>2015</v>
      </c>
      <c r="AV12" s="230">
        <f>2015</f>
        <v>2015</v>
      </c>
      <c r="AW12" s="230" t="s">
        <v>21</v>
      </c>
      <c r="AX12" s="231" t="s">
        <v>22</v>
      </c>
      <c r="AY12" s="230" t="s">
        <v>23</v>
      </c>
      <c r="AZ12" s="230">
        <f>2015</f>
        <v>2015</v>
      </c>
      <c r="BA12" s="230">
        <f>2015</f>
        <v>2015</v>
      </c>
      <c r="BB12" s="230">
        <f>2015</f>
        <v>2015</v>
      </c>
      <c r="BC12" s="230">
        <f>2015</f>
        <v>2015</v>
      </c>
      <c r="BD12" s="230">
        <f>2015</f>
        <v>2015</v>
      </c>
      <c r="BE12" s="230">
        <f>2015</f>
        <v>2015</v>
      </c>
      <c r="BF12" s="230">
        <f>2015</f>
        <v>2015</v>
      </c>
      <c r="BG12" s="230">
        <v>2015</v>
      </c>
      <c r="BH12" s="230" t="s">
        <v>1048</v>
      </c>
    </row>
    <row r="13" spans="1:60" x14ac:dyDescent="0.2">
      <c r="A13" s="503" t="s">
        <v>783</v>
      </c>
      <c r="B13" s="493"/>
      <c r="C13" s="185"/>
      <c r="D13" s="18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1"/>
      <c r="R13" s="171"/>
      <c r="S13" s="188"/>
      <c r="T13" s="188"/>
      <c r="U13" s="154"/>
      <c r="V13" s="110"/>
      <c r="W13" s="110"/>
      <c r="X13" s="126"/>
      <c r="Y13" s="110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7"/>
      <c r="AP13" s="117"/>
      <c r="AQ13" s="117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6"/>
      <c r="BH13" s="106"/>
    </row>
    <row r="14" spans="1:60" x14ac:dyDescent="0.2">
      <c r="A14" s="87" t="s">
        <v>1047</v>
      </c>
      <c r="B14" s="244" t="s">
        <v>1022</v>
      </c>
      <c r="C14" s="101">
        <f>5</f>
        <v>5</v>
      </c>
      <c r="D14" s="91">
        <v>0.2</v>
      </c>
      <c r="E14" s="88">
        <v>41820</v>
      </c>
      <c r="F14" s="90">
        <f t="shared" ref="F14:F21" si="0">C14*12</f>
        <v>60</v>
      </c>
      <c r="G14" s="201">
        <f t="shared" ref="G14:G21" si="1">100/F14</f>
        <v>1.6666666666666667</v>
      </c>
      <c r="H14" s="233">
        <f t="shared" ref="H14:H21" si="2">G14*I14</f>
        <v>73.333333333333343</v>
      </c>
      <c r="I14" s="90">
        <f t="shared" ref="I14:I21" si="3">(YEAR(E14)-YEAR(R14))*12+MONTH(E14)-MONTH(R14)</f>
        <v>44</v>
      </c>
      <c r="J14" s="233">
        <f t="shared" ref="J14:J21" si="4">K14*G14</f>
        <v>26.666666666666668</v>
      </c>
      <c r="K14" s="90">
        <f t="shared" ref="K14:K21" si="5">F14-I14</f>
        <v>16</v>
      </c>
      <c r="L14" s="233">
        <f t="shared" ref="L14:L21" si="6">M14*G14</f>
        <v>11.666666666666668</v>
      </c>
      <c r="M14" s="90">
        <v>7</v>
      </c>
      <c r="N14" s="233">
        <f t="shared" ref="N14:N21" si="7">O14*G14</f>
        <v>15</v>
      </c>
      <c r="O14" s="90">
        <f t="shared" ref="O14:O21" si="8">K14-M14</f>
        <v>9</v>
      </c>
      <c r="P14" s="88">
        <v>42278</v>
      </c>
      <c r="Q14" s="88"/>
      <c r="R14" s="488">
        <v>40452</v>
      </c>
      <c r="S14" s="487">
        <v>256662</v>
      </c>
      <c r="T14" s="89">
        <f t="shared" ref="T14:T21" si="9">S14*H14%</f>
        <v>188218.80000000002</v>
      </c>
      <c r="U14" s="233">
        <f t="shared" ref="U14:U21" si="10">S14-(((2014-YEAR(R14))*12-MONTH(R14))*V14)</f>
        <v>94109.4</v>
      </c>
      <c r="V14" s="233">
        <f t="shared" ref="V14:V21" si="11">S14*G14%</f>
        <v>4277.7</v>
      </c>
      <c r="W14" s="233">
        <f t="shared" ref="W14:W21" si="12">V14*5</f>
        <v>21388.5</v>
      </c>
      <c r="X14" s="125">
        <f t="shared" ref="X14:X21" si="13">U14-W14</f>
        <v>72720.899999999994</v>
      </c>
      <c r="Y14" s="100">
        <f t="shared" ref="Y14:Y21" si="14">112.722</f>
        <v>112.72199999999999</v>
      </c>
      <c r="Z14" s="480">
        <v>142.78200000000001</v>
      </c>
      <c r="AA14" s="475">
        <f t="shared" ref="AA14:AA21" si="15">Y14/Z14</f>
        <v>0.78946926083119706</v>
      </c>
      <c r="AB14" s="98">
        <f t="shared" ref="AB14:AB21" si="16">X14*L14/100/J14*100/7</f>
        <v>4545.0562499999996</v>
      </c>
      <c r="AC14" s="98">
        <f t="shared" ref="AC14:AC21" si="17">AB14*AA14</f>
        <v>3588.1821981237122</v>
      </c>
      <c r="AD14" s="98"/>
      <c r="AE14" s="98"/>
      <c r="AF14" s="98"/>
      <c r="AG14" s="98"/>
      <c r="AH14" s="98"/>
      <c r="AI14" s="98">
        <f t="shared" ref="AI14:AO21" si="18">$AC14</f>
        <v>3588.1821981237122</v>
      </c>
      <c r="AJ14" s="98">
        <f t="shared" si="18"/>
        <v>3588.1821981237122</v>
      </c>
      <c r="AK14" s="98">
        <f t="shared" si="18"/>
        <v>3588.1821981237122</v>
      </c>
      <c r="AL14" s="98">
        <f t="shared" si="18"/>
        <v>3588.1821981237122</v>
      </c>
      <c r="AM14" s="98">
        <f t="shared" si="18"/>
        <v>3588.1821981237122</v>
      </c>
      <c r="AN14" s="98">
        <f t="shared" si="18"/>
        <v>3588.1821981237122</v>
      </c>
      <c r="AO14" s="98">
        <f t="shared" si="18"/>
        <v>3588.1821981237122</v>
      </c>
      <c r="AP14" s="116">
        <f>SUM(AI14:AO14)</f>
        <v>25117.275386865986</v>
      </c>
      <c r="AQ14" s="116">
        <f>X14-AP14</f>
        <v>47603.624613134009</v>
      </c>
      <c r="AR14" s="98">
        <f>$AC14</f>
        <v>3588.1821981237122</v>
      </c>
      <c r="AS14" s="98">
        <f>$AC14</f>
        <v>3588.1821981237122</v>
      </c>
      <c r="AT14" s="98">
        <f>$AC14</f>
        <v>3588.1821981237122</v>
      </c>
      <c r="AU14" s="98">
        <f>$AC14</f>
        <v>3588.1821981237122</v>
      </c>
      <c r="AV14" s="98">
        <f>$AC14</f>
        <v>3588.1821981237122</v>
      </c>
      <c r="AW14" s="502">
        <v>115.958</v>
      </c>
      <c r="AX14" s="480">
        <v>142.78200000000001</v>
      </c>
      <c r="AY14" s="98">
        <f t="shared" ref="AY14:AY21" si="19">AW14/AX14</f>
        <v>0.81213318205376017</v>
      </c>
      <c r="AZ14" s="98">
        <f>V14*AY14</f>
        <v>3474.0621128713697</v>
      </c>
      <c r="BA14" s="98">
        <f t="shared" ref="BA14:BF15" si="20">$AZ14</f>
        <v>3474.0621128713697</v>
      </c>
      <c r="BB14" s="98">
        <f t="shared" si="20"/>
        <v>3474.0621128713697</v>
      </c>
      <c r="BC14" s="98">
        <f t="shared" si="20"/>
        <v>3474.0621128713697</v>
      </c>
      <c r="BD14" s="98">
        <f t="shared" si="20"/>
        <v>3474.0621128713697</v>
      </c>
      <c r="BE14" s="98">
        <f t="shared" si="20"/>
        <v>3474.0621128713697</v>
      </c>
      <c r="BF14" s="98">
        <f t="shared" si="20"/>
        <v>3474.0621128713697</v>
      </c>
      <c r="BG14" s="106">
        <f t="shared" ref="BG14:BG21" si="21">(SUM(AR14:AV14))+(SUM(AZ14:BF14))</f>
        <v>42259.345780718148</v>
      </c>
      <c r="BH14" s="106">
        <f>AQ14-BG14</f>
        <v>5344.278832415861</v>
      </c>
    </row>
    <row r="15" spans="1:60" x14ac:dyDescent="0.2">
      <c r="A15" s="87" t="s">
        <v>1046</v>
      </c>
      <c r="B15" s="244" t="s">
        <v>1021</v>
      </c>
      <c r="C15" s="101">
        <f>5</f>
        <v>5</v>
      </c>
      <c r="D15" s="91">
        <v>0.2</v>
      </c>
      <c r="E15" s="88">
        <v>41820</v>
      </c>
      <c r="F15" s="90">
        <f t="shared" si="0"/>
        <v>60</v>
      </c>
      <c r="G15" s="201">
        <f t="shared" si="1"/>
        <v>1.6666666666666667</v>
      </c>
      <c r="H15" s="233">
        <f t="shared" si="2"/>
        <v>96.666666666666671</v>
      </c>
      <c r="I15" s="90">
        <f t="shared" si="3"/>
        <v>58</v>
      </c>
      <c r="J15" s="233">
        <f t="shared" si="4"/>
        <v>3.3333333333333335</v>
      </c>
      <c r="K15" s="90">
        <f t="shared" si="5"/>
        <v>2</v>
      </c>
      <c r="L15" s="233">
        <f t="shared" si="6"/>
        <v>11.666666666666668</v>
      </c>
      <c r="M15" s="90">
        <v>7</v>
      </c>
      <c r="N15" s="233">
        <f t="shared" si="7"/>
        <v>-8.3333333333333339</v>
      </c>
      <c r="O15" s="90">
        <f t="shared" si="8"/>
        <v>-5</v>
      </c>
      <c r="P15" s="88">
        <v>41878</v>
      </c>
      <c r="Q15" s="88"/>
      <c r="R15" s="488">
        <v>40052</v>
      </c>
      <c r="S15" s="487">
        <v>253500</v>
      </c>
      <c r="T15" s="89">
        <f t="shared" si="9"/>
        <v>245050</v>
      </c>
      <c r="U15" s="233">
        <f t="shared" si="10"/>
        <v>33800</v>
      </c>
      <c r="V15" s="233">
        <f t="shared" si="11"/>
        <v>4225</v>
      </c>
      <c r="W15" s="233">
        <f t="shared" si="12"/>
        <v>21125</v>
      </c>
      <c r="X15" s="125">
        <f t="shared" si="13"/>
        <v>12675</v>
      </c>
      <c r="Y15" s="100">
        <f t="shared" si="14"/>
        <v>112.72199999999999</v>
      </c>
      <c r="Z15" s="480">
        <v>136.161</v>
      </c>
      <c r="AA15" s="98">
        <f t="shared" si="15"/>
        <v>0.82785819728115972</v>
      </c>
      <c r="AB15" s="98">
        <f t="shared" si="16"/>
        <v>6337.5000000000009</v>
      </c>
      <c r="AC15" s="98">
        <f t="shared" si="17"/>
        <v>5246.5513252693509</v>
      </c>
      <c r="AD15" s="98"/>
      <c r="AE15" s="98"/>
      <c r="AF15" s="98"/>
      <c r="AG15" s="98"/>
      <c r="AH15" s="98"/>
      <c r="AI15" s="98">
        <f t="shared" si="18"/>
        <v>5246.5513252693509</v>
      </c>
      <c r="AJ15" s="98">
        <f t="shared" si="18"/>
        <v>5246.5513252693509</v>
      </c>
      <c r="AK15" s="98">
        <v>2181.9</v>
      </c>
      <c r="AL15" s="98"/>
      <c r="AM15" s="98"/>
      <c r="AN15" s="98"/>
      <c r="AO15" s="98"/>
      <c r="AP15" s="116">
        <f t="shared" ref="AP15:AP21" si="22">SUM(AI15:AN15)</f>
        <v>12675.002650538701</v>
      </c>
      <c r="AQ15" s="116">
        <v>1</v>
      </c>
      <c r="AR15" s="98"/>
      <c r="AS15" s="98"/>
      <c r="AT15" s="98"/>
      <c r="AU15" s="98"/>
      <c r="AV15" s="98"/>
      <c r="AW15" s="502">
        <v>115.958</v>
      </c>
      <c r="AX15" s="480">
        <v>136.161</v>
      </c>
      <c r="AY15" s="98">
        <f t="shared" si="19"/>
        <v>0.85162418019844155</v>
      </c>
      <c r="AZ15" s="98"/>
      <c r="BA15" s="98">
        <f t="shared" si="20"/>
        <v>0</v>
      </c>
      <c r="BB15" s="98">
        <f t="shared" si="20"/>
        <v>0</v>
      </c>
      <c r="BC15" s="98">
        <f t="shared" si="20"/>
        <v>0</v>
      </c>
      <c r="BD15" s="98">
        <f t="shared" si="20"/>
        <v>0</v>
      </c>
      <c r="BE15" s="98">
        <f t="shared" si="20"/>
        <v>0</v>
      </c>
      <c r="BF15" s="98">
        <f>$AZ15</f>
        <v>0</v>
      </c>
      <c r="BG15" s="106">
        <f t="shared" si="21"/>
        <v>0</v>
      </c>
      <c r="BH15" s="106">
        <f>AQ15-BG15</f>
        <v>1</v>
      </c>
    </row>
    <row r="16" spans="1:60" x14ac:dyDescent="0.2">
      <c r="A16" s="87" t="s">
        <v>1045</v>
      </c>
      <c r="B16" s="244" t="s">
        <v>1020</v>
      </c>
      <c r="C16" s="101">
        <f>5</f>
        <v>5</v>
      </c>
      <c r="D16" s="91">
        <v>0.2</v>
      </c>
      <c r="E16" s="88">
        <v>41820</v>
      </c>
      <c r="F16" s="90">
        <f t="shared" si="0"/>
        <v>60</v>
      </c>
      <c r="G16" s="201">
        <f t="shared" si="1"/>
        <v>1.6666666666666667</v>
      </c>
      <c r="H16" s="233">
        <f t="shared" si="2"/>
        <v>88.333333333333343</v>
      </c>
      <c r="I16" s="90">
        <f t="shared" si="3"/>
        <v>53</v>
      </c>
      <c r="J16" s="233">
        <f t="shared" si="4"/>
        <v>11.666666666666668</v>
      </c>
      <c r="K16" s="90">
        <f t="shared" si="5"/>
        <v>7</v>
      </c>
      <c r="L16" s="233">
        <f t="shared" si="6"/>
        <v>11.666666666666668</v>
      </c>
      <c r="M16" s="90">
        <v>7</v>
      </c>
      <c r="N16" s="233">
        <f t="shared" si="7"/>
        <v>0</v>
      </c>
      <c r="O16" s="90">
        <f t="shared" si="8"/>
        <v>0</v>
      </c>
      <c r="P16" s="88">
        <v>42026</v>
      </c>
      <c r="Q16" s="88"/>
      <c r="R16" s="488">
        <v>40200</v>
      </c>
      <c r="S16" s="487">
        <v>112000</v>
      </c>
      <c r="T16" s="89">
        <f t="shared" si="9"/>
        <v>98933.333333333343</v>
      </c>
      <c r="U16" s="233">
        <f t="shared" si="10"/>
        <v>24266.666666666657</v>
      </c>
      <c r="V16" s="233">
        <f t="shared" si="11"/>
        <v>1866.6666666666667</v>
      </c>
      <c r="W16" s="233">
        <f t="shared" si="12"/>
        <v>9333.3333333333339</v>
      </c>
      <c r="X16" s="125">
        <f t="shared" si="13"/>
        <v>14933.333333333323</v>
      </c>
      <c r="Y16" s="100">
        <f t="shared" si="14"/>
        <v>112.72199999999999</v>
      </c>
      <c r="Z16" s="480">
        <v>140.047</v>
      </c>
      <c r="AA16" s="98">
        <f t="shared" si="15"/>
        <v>0.8048869308160832</v>
      </c>
      <c r="AB16" s="98">
        <f t="shared" si="16"/>
        <v>2133.3333333333317</v>
      </c>
      <c r="AC16" s="98">
        <f t="shared" si="17"/>
        <v>1717.0921190743095</v>
      </c>
      <c r="AD16" s="98"/>
      <c r="AE16" s="98"/>
      <c r="AF16" s="98"/>
      <c r="AG16" s="98"/>
      <c r="AH16" s="98"/>
      <c r="AI16" s="98">
        <f t="shared" si="18"/>
        <v>1717.0921190743095</v>
      </c>
      <c r="AJ16" s="98">
        <f t="shared" si="18"/>
        <v>1717.0921190743095</v>
      </c>
      <c r="AK16" s="98">
        <f t="shared" si="18"/>
        <v>1717.0921190743095</v>
      </c>
      <c r="AL16" s="98">
        <f t="shared" si="18"/>
        <v>1717.0921190743095</v>
      </c>
      <c r="AM16" s="98">
        <f t="shared" si="18"/>
        <v>1717.0921190743095</v>
      </c>
      <c r="AN16" s="98">
        <f t="shared" si="18"/>
        <v>1717.0921190743095</v>
      </c>
      <c r="AO16" s="98">
        <f t="shared" si="18"/>
        <v>1717.0921190743095</v>
      </c>
      <c r="AP16" s="116">
        <f t="shared" si="22"/>
        <v>10302.552714445857</v>
      </c>
      <c r="AQ16" s="116">
        <f t="shared" ref="AQ16:AQ23" si="23">X16-AP16</f>
        <v>4630.7806188874656</v>
      </c>
      <c r="AR16" s="98">
        <f>$AC16</f>
        <v>1717.0921190743095</v>
      </c>
      <c r="AS16" s="98">
        <f>$AC16</f>
        <v>1717.0921190743095</v>
      </c>
      <c r="AT16" s="98">
        <v>1196.5999999999999</v>
      </c>
      <c r="AU16" s="98"/>
      <c r="AV16" s="98"/>
      <c r="AW16" s="502">
        <v>115.958</v>
      </c>
      <c r="AX16" s="480">
        <v>140.047</v>
      </c>
      <c r="AY16" s="98">
        <f t="shared" si="19"/>
        <v>0.82799345933865065</v>
      </c>
      <c r="AZ16" s="98"/>
      <c r="BA16" s="98"/>
      <c r="BB16" s="98"/>
      <c r="BC16" s="98"/>
      <c r="BD16" s="98"/>
      <c r="BE16" s="98"/>
      <c r="BF16" s="98"/>
      <c r="BG16" s="106">
        <f t="shared" si="21"/>
        <v>4630.7842381486189</v>
      </c>
      <c r="BH16" s="106">
        <v>1</v>
      </c>
    </row>
    <row r="17" spans="1:60" x14ac:dyDescent="0.2">
      <c r="A17" s="87" t="s">
        <v>1044</v>
      </c>
      <c r="B17" s="244" t="s">
        <v>1017</v>
      </c>
      <c r="C17" s="101">
        <f>5</f>
        <v>5</v>
      </c>
      <c r="D17" s="91">
        <v>0.2</v>
      </c>
      <c r="E17" s="88">
        <v>41820</v>
      </c>
      <c r="F17" s="90">
        <f t="shared" si="0"/>
        <v>60</v>
      </c>
      <c r="G17" s="201">
        <f t="shared" si="1"/>
        <v>1.6666666666666667</v>
      </c>
      <c r="H17" s="233">
        <f t="shared" si="2"/>
        <v>90</v>
      </c>
      <c r="I17" s="90">
        <f t="shared" si="3"/>
        <v>54</v>
      </c>
      <c r="J17" s="233">
        <f t="shared" si="4"/>
        <v>10</v>
      </c>
      <c r="K17" s="90">
        <f t="shared" si="5"/>
        <v>6</v>
      </c>
      <c r="L17" s="233">
        <f t="shared" si="6"/>
        <v>11.666666666666668</v>
      </c>
      <c r="M17" s="90">
        <v>7</v>
      </c>
      <c r="N17" s="233">
        <f t="shared" si="7"/>
        <v>-1.6666666666666667</v>
      </c>
      <c r="O17" s="90">
        <f t="shared" si="8"/>
        <v>-1</v>
      </c>
      <c r="P17" s="88">
        <v>42002</v>
      </c>
      <c r="Q17" s="88"/>
      <c r="R17" s="488">
        <v>40176</v>
      </c>
      <c r="S17" s="487">
        <v>157000</v>
      </c>
      <c r="T17" s="89">
        <f t="shared" si="9"/>
        <v>141300</v>
      </c>
      <c r="U17" s="233">
        <f t="shared" si="10"/>
        <v>31400</v>
      </c>
      <c r="V17" s="233">
        <f t="shared" si="11"/>
        <v>2616.6666666666665</v>
      </c>
      <c r="W17" s="233">
        <f t="shared" si="12"/>
        <v>13083.333333333332</v>
      </c>
      <c r="X17" s="125">
        <f t="shared" si="13"/>
        <v>18316.666666666668</v>
      </c>
      <c r="Y17" s="100">
        <f t="shared" si="14"/>
        <v>112.72199999999999</v>
      </c>
      <c r="Z17" s="480">
        <v>138.541</v>
      </c>
      <c r="AA17" s="98">
        <f t="shared" si="15"/>
        <v>0.81363639644581742</v>
      </c>
      <c r="AB17" s="98">
        <f t="shared" si="16"/>
        <v>3052.7777777777783</v>
      </c>
      <c r="AC17" s="98">
        <f t="shared" si="17"/>
        <v>2483.8511102609818</v>
      </c>
      <c r="AD17" s="98"/>
      <c r="AE17" s="98"/>
      <c r="AF17" s="98"/>
      <c r="AG17" s="98"/>
      <c r="AH17" s="98"/>
      <c r="AI17" s="98">
        <f t="shared" si="18"/>
        <v>2483.8511102609818</v>
      </c>
      <c r="AJ17" s="98">
        <f t="shared" si="18"/>
        <v>2483.8511102609818</v>
      </c>
      <c r="AK17" s="98">
        <f t="shared" si="18"/>
        <v>2483.8511102609818</v>
      </c>
      <c r="AL17" s="98">
        <f t="shared" si="18"/>
        <v>2483.8511102609818</v>
      </c>
      <c r="AM17" s="98">
        <f t="shared" si="18"/>
        <v>2483.8511102609818</v>
      </c>
      <c r="AN17" s="98">
        <f t="shared" si="18"/>
        <v>2483.8511102609818</v>
      </c>
      <c r="AO17" s="98">
        <f t="shared" si="18"/>
        <v>2483.8511102609818</v>
      </c>
      <c r="AP17" s="116">
        <f t="shared" si="22"/>
        <v>14903.106661565889</v>
      </c>
      <c r="AQ17" s="116">
        <f t="shared" si="23"/>
        <v>3413.5600051007787</v>
      </c>
      <c r="AR17" s="98">
        <f>$AC17</f>
        <v>2483.8511102609818</v>
      </c>
      <c r="AS17" s="98">
        <v>929.71</v>
      </c>
      <c r="AT17" s="98"/>
      <c r="AU17" s="98"/>
      <c r="AV17" s="98"/>
      <c r="AW17" s="502">
        <v>115.958</v>
      </c>
      <c r="AX17" s="480">
        <v>138.541</v>
      </c>
      <c r="AY17" s="98">
        <f t="shared" si="19"/>
        <v>0.83699410282876552</v>
      </c>
      <c r="AZ17" s="98"/>
      <c r="BA17" s="98"/>
      <c r="BB17" s="98"/>
      <c r="BC17" s="98"/>
      <c r="BD17" s="98"/>
      <c r="BE17" s="98"/>
      <c r="BF17" s="98"/>
      <c r="BG17" s="106">
        <f t="shared" si="21"/>
        <v>3413.5611102609819</v>
      </c>
      <c r="BH17" s="106">
        <v>1</v>
      </c>
    </row>
    <row r="18" spans="1:60" x14ac:dyDescent="0.2">
      <c r="A18" s="87" t="s">
        <v>1043</v>
      </c>
      <c r="B18" s="244" t="s">
        <v>1014</v>
      </c>
      <c r="C18" s="101">
        <f>5</f>
        <v>5</v>
      </c>
      <c r="D18" s="91">
        <v>0.2</v>
      </c>
      <c r="E18" s="88">
        <v>41820</v>
      </c>
      <c r="F18" s="90">
        <f t="shared" si="0"/>
        <v>60</v>
      </c>
      <c r="G18" s="201">
        <f t="shared" si="1"/>
        <v>1.6666666666666667</v>
      </c>
      <c r="H18" s="233">
        <f t="shared" si="2"/>
        <v>3.3333333333333335</v>
      </c>
      <c r="I18" s="90">
        <f t="shared" si="3"/>
        <v>2</v>
      </c>
      <c r="J18" s="233">
        <f t="shared" si="4"/>
        <v>96.666666666666671</v>
      </c>
      <c r="K18" s="90">
        <f t="shared" si="5"/>
        <v>58</v>
      </c>
      <c r="L18" s="233">
        <f t="shared" si="6"/>
        <v>11.666666666666668</v>
      </c>
      <c r="M18" s="90">
        <v>7</v>
      </c>
      <c r="N18" s="233">
        <f t="shared" si="7"/>
        <v>85</v>
      </c>
      <c r="O18" s="90">
        <f t="shared" si="8"/>
        <v>51</v>
      </c>
      <c r="P18" s="88">
        <v>43566</v>
      </c>
      <c r="Q18" s="88"/>
      <c r="R18" s="488">
        <v>41740</v>
      </c>
      <c r="S18" s="487">
        <v>181054</v>
      </c>
      <c r="T18" s="89">
        <f t="shared" si="9"/>
        <v>6035.1333333333332</v>
      </c>
      <c r="U18" s="233">
        <f t="shared" si="10"/>
        <v>193124.26666666666</v>
      </c>
      <c r="V18" s="233">
        <f t="shared" si="11"/>
        <v>3017.5666666666666</v>
      </c>
      <c r="W18" s="233">
        <f t="shared" si="12"/>
        <v>15087.833333333332</v>
      </c>
      <c r="X18" s="125">
        <f t="shared" si="13"/>
        <v>178036.43333333332</v>
      </c>
      <c r="Y18" s="100">
        <f t="shared" si="14"/>
        <v>112.72199999999999</v>
      </c>
      <c r="Z18" s="480">
        <v>112.88800000000001</v>
      </c>
      <c r="AA18" s="98">
        <f t="shared" si="15"/>
        <v>0.99852951598044071</v>
      </c>
      <c r="AB18" s="98">
        <f t="shared" si="16"/>
        <v>3069.5936781609194</v>
      </c>
      <c r="AC18" s="98">
        <f t="shared" si="17"/>
        <v>3065.0798897106433</v>
      </c>
      <c r="AD18" s="98"/>
      <c r="AE18" s="98"/>
      <c r="AF18" s="98"/>
      <c r="AG18" s="98"/>
      <c r="AH18" s="98"/>
      <c r="AI18" s="98">
        <f t="shared" si="18"/>
        <v>3065.0798897106433</v>
      </c>
      <c r="AJ18" s="98">
        <f t="shared" si="18"/>
        <v>3065.0798897106433</v>
      </c>
      <c r="AK18" s="98">
        <f t="shared" si="18"/>
        <v>3065.0798897106433</v>
      </c>
      <c r="AL18" s="98">
        <f t="shared" si="18"/>
        <v>3065.0798897106433</v>
      </c>
      <c r="AM18" s="98">
        <f t="shared" si="18"/>
        <v>3065.0798897106433</v>
      </c>
      <c r="AN18" s="98">
        <f t="shared" si="18"/>
        <v>3065.0798897106433</v>
      </c>
      <c r="AO18" s="98">
        <f t="shared" si="18"/>
        <v>3065.0798897106433</v>
      </c>
      <c r="AP18" s="116">
        <f t="shared" si="22"/>
        <v>18390.47933826386</v>
      </c>
      <c r="AQ18" s="116">
        <f t="shared" si="23"/>
        <v>159645.95399506946</v>
      </c>
      <c r="AR18" s="98">
        <f>$AC18</f>
        <v>3065.0798897106433</v>
      </c>
      <c r="AS18" s="98">
        <f t="shared" ref="AS18:AV21" si="24">$AC18</f>
        <v>3065.0798897106433</v>
      </c>
      <c r="AT18" s="98">
        <f t="shared" si="24"/>
        <v>3065.0798897106433</v>
      </c>
      <c r="AU18" s="98">
        <f t="shared" si="24"/>
        <v>3065.0798897106433</v>
      </c>
      <c r="AV18" s="98">
        <f t="shared" si="24"/>
        <v>3065.0798897106433</v>
      </c>
      <c r="AW18" s="502">
        <v>115.958</v>
      </c>
      <c r="AX18" s="480">
        <v>112.88800000000001</v>
      </c>
      <c r="AY18" s="98">
        <f t="shared" si="19"/>
        <v>1.0271950960243781</v>
      </c>
      <c r="AZ18" s="98">
        <f>V18*AY18</f>
        <v>3099.629681926629</v>
      </c>
      <c r="BA18" s="98">
        <f t="shared" ref="BA18:BF21" si="25">$AZ18</f>
        <v>3099.629681926629</v>
      </c>
      <c r="BB18" s="98">
        <f t="shared" si="25"/>
        <v>3099.629681926629</v>
      </c>
      <c r="BC18" s="98">
        <f t="shared" si="25"/>
        <v>3099.629681926629</v>
      </c>
      <c r="BD18" s="98">
        <f t="shared" si="25"/>
        <v>3099.629681926629</v>
      </c>
      <c r="BE18" s="98">
        <f t="shared" si="25"/>
        <v>3099.629681926629</v>
      </c>
      <c r="BF18" s="98">
        <f t="shared" si="25"/>
        <v>3099.629681926629</v>
      </c>
      <c r="BG18" s="106">
        <f t="shared" si="21"/>
        <v>37022.807222039613</v>
      </c>
      <c r="BH18" s="106">
        <f t="shared" ref="BH18:BH23" si="26">AQ18-BG18</f>
        <v>122623.14677302985</v>
      </c>
    </row>
    <row r="19" spans="1:60" x14ac:dyDescent="0.2">
      <c r="A19" s="87" t="s">
        <v>1042</v>
      </c>
      <c r="B19" s="244" t="s">
        <v>1013</v>
      </c>
      <c r="C19" s="101">
        <f>5</f>
        <v>5</v>
      </c>
      <c r="D19" s="91">
        <v>0.2</v>
      </c>
      <c r="E19" s="88">
        <v>41820</v>
      </c>
      <c r="F19" s="90">
        <f t="shared" si="0"/>
        <v>60</v>
      </c>
      <c r="G19" s="201">
        <f t="shared" si="1"/>
        <v>1.6666666666666667</v>
      </c>
      <c r="H19" s="233">
        <f t="shared" si="2"/>
        <v>3.3333333333333335</v>
      </c>
      <c r="I19" s="90">
        <f t="shared" si="3"/>
        <v>2</v>
      </c>
      <c r="J19" s="233">
        <f t="shared" si="4"/>
        <v>96.666666666666671</v>
      </c>
      <c r="K19" s="90">
        <f t="shared" si="5"/>
        <v>58</v>
      </c>
      <c r="L19" s="233">
        <f t="shared" si="6"/>
        <v>11.666666666666668</v>
      </c>
      <c r="M19" s="90">
        <v>7</v>
      </c>
      <c r="N19" s="233">
        <f t="shared" si="7"/>
        <v>85</v>
      </c>
      <c r="O19" s="90">
        <f t="shared" si="8"/>
        <v>51</v>
      </c>
      <c r="P19" s="88">
        <v>43566</v>
      </c>
      <c r="Q19" s="88"/>
      <c r="R19" s="488">
        <v>41740</v>
      </c>
      <c r="S19" s="487">
        <v>180000</v>
      </c>
      <c r="T19" s="89">
        <f t="shared" si="9"/>
        <v>6000</v>
      </c>
      <c r="U19" s="233">
        <f t="shared" si="10"/>
        <v>192000</v>
      </c>
      <c r="V19" s="233">
        <f t="shared" si="11"/>
        <v>3000</v>
      </c>
      <c r="W19" s="233">
        <f t="shared" si="12"/>
        <v>15000</v>
      </c>
      <c r="X19" s="125">
        <f t="shared" si="13"/>
        <v>177000</v>
      </c>
      <c r="Y19" s="100">
        <f t="shared" si="14"/>
        <v>112.72199999999999</v>
      </c>
      <c r="Z19" s="480">
        <v>112.88800000000001</v>
      </c>
      <c r="AA19" s="98">
        <f t="shared" si="15"/>
        <v>0.99852951598044071</v>
      </c>
      <c r="AB19" s="98">
        <f t="shared" si="16"/>
        <v>3051.7241379310349</v>
      </c>
      <c r="AC19" s="98">
        <f t="shared" si="17"/>
        <v>3047.2366263541039</v>
      </c>
      <c r="AD19" s="98"/>
      <c r="AE19" s="98"/>
      <c r="AF19" s="98"/>
      <c r="AG19" s="98"/>
      <c r="AH19" s="98"/>
      <c r="AI19" s="98">
        <f t="shared" si="18"/>
        <v>3047.2366263541039</v>
      </c>
      <c r="AJ19" s="98">
        <f t="shared" si="18"/>
        <v>3047.2366263541039</v>
      </c>
      <c r="AK19" s="98">
        <f t="shared" si="18"/>
        <v>3047.2366263541039</v>
      </c>
      <c r="AL19" s="98">
        <f t="shared" si="18"/>
        <v>3047.2366263541039</v>
      </c>
      <c r="AM19" s="98">
        <f t="shared" si="18"/>
        <v>3047.2366263541039</v>
      </c>
      <c r="AN19" s="98">
        <f t="shared" si="18"/>
        <v>3047.2366263541039</v>
      </c>
      <c r="AO19" s="98">
        <f t="shared" si="18"/>
        <v>3047.2366263541039</v>
      </c>
      <c r="AP19" s="116">
        <f t="shared" si="22"/>
        <v>18283.419758124623</v>
      </c>
      <c r="AQ19" s="116">
        <f t="shared" si="23"/>
        <v>158716.58024187537</v>
      </c>
      <c r="AR19" s="98">
        <f>$AC19</f>
        <v>3047.2366263541039</v>
      </c>
      <c r="AS19" s="98">
        <f t="shared" si="24"/>
        <v>3047.2366263541039</v>
      </c>
      <c r="AT19" s="98">
        <f t="shared" si="24"/>
        <v>3047.2366263541039</v>
      </c>
      <c r="AU19" s="98">
        <f t="shared" si="24"/>
        <v>3047.2366263541039</v>
      </c>
      <c r="AV19" s="98">
        <f t="shared" si="24"/>
        <v>3047.2366263541039</v>
      </c>
      <c r="AW19" s="502">
        <v>115.958</v>
      </c>
      <c r="AX19" s="480">
        <v>112.88800000000001</v>
      </c>
      <c r="AY19" s="98">
        <f t="shared" si="19"/>
        <v>1.0271950960243781</v>
      </c>
      <c r="AZ19" s="98">
        <f>V19*AY19</f>
        <v>3081.5852880731341</v>
      </c>
      <c r="BA19" s="98">
        <f t="shared" si="25"/>
        <v>3081.5852880731341</v>
      </c>
      <c r="BB19" s="98">
        <f t="shared" si="25"/>
        <v>3081.5852880731341</v>
      </c>
      <c r="BC19" s="98">
        <f t="shared" si="25"/>
        <v>3081.5852880731341</v>
      </c>
      <c r="BD19" s="98">
        <f t="shared" si="25"/>
        <v>3081.5852880731341</v>
      </c>
      <c r="BE19" s="98">
        <f t="shared" si="25"/>
        <v>3081.5852880731341</v>
      </c>
      <c r="BF19" s="98">
        <f t="shared" si="25"/>
        <v>3081.5852880731341</v>
      </c>
      <c r="BG19" s="106">
        <f t="shared" si="21"/>
        <v>36807.280148282458</v>
      </c>
      <c r="BH19" s="106">
        <f t="shared" si="26"/>
        <v>121909.30009359292</v>
      </c>
    </row>
    <row r="20" spans="1:60" x14ac:dyDescent="0.2">
      <c r="A20" s="547" t="s">
        <v>1041</v>
      </c>
      <c r="B20" s="548" t="s">
        <v>1012</v>
      </c>
      <c r="C20" s="101">
        <f>5</f>
        <v>5</v>
      </c>
      <c r="D20" s="91">
        <v>0.2</v>
      </c>
      <c r="E20" s="88">
        <v>41820</v>
      </c>
      <c r="F20" s="90">
        <f t="shared" si="0"/>
        <v>60</v>
      </c>
      <c r="G20" s="201">
        <f t="shared" si="1"/>
        <v>1.6666666666666667</v>
      </c>
      <c r="H20" s="233">
        <f t="shared" si="2"/>
        <v>30</v>
      </c>
      <c r="I20" s="90">
        <f t="shared" si="3"/>
        <v>18</v>
      </c>
      <c r="J20" s="233">
        <f t="shared" si="4"/>
        <v>70</v>
      </c>
      <c r="K20" s="90">
        <f t="shared" si="5"/>
        <v>42</v>
      </c>
      <c r="L20" s="233">
        <f t="shared" si="6"/>
        <v>11.666666666666668</v>
      </c>
      <c r="M20" s="90">
        <v>7</v>
      </c>
      <c r="N20" s="233">
        <f t="shared" si="7"/>
        <v>58.333333333333336</v>
      </c>
      <c r="O20" s="90">
        <f t="shared" si="8"/>
        <v>35</v>
      </c>
      <c r="P20" s="88">
        <v>43090</v>
      </c>
      <c r="Q20" s="88"/>
      <c r="R20" s="488">
        <v>41264</v>
      </c>
      <c r="S20" s="487">
        <v>110000</v>
      </c>
      <c r="T20" s="89">
        <f t="shared" si="9"/>
        <v>33000</v>
      </c>
      <c r="U20" s="233">
        <f t="shared" si="10"/>
        <v>88000</v>
      </c>
      <c r="V20" s="233">
        <f t="shared" si="11"/>
        <v>1833.3333333333333</v>
      </c>
      <c r="W20" s="233">
        <f t="shared" si="12"/>
        <v>9166.6666666666661</v>
      </c>
      <c r="X20" s="125">
        <f t="shared" si="13"/>
        <v>78833.333333333328</v>
      </c>
      <c r="Y20" s="100">
        <f t="shared" si="14"/>
        <v>112.72199999999999</v>
      </c>
      <c r="Z20" s="480">
        <v>107.246</v>
      </c>
      <c r="AA20" s="98">
        <f t="shared" si="15"/>
        <v>1.0510601794006302</v>
      </c>
      <c r="AB20" s="98">
        <f t="shared" si="16"/>
        <v>1876.984126984127</v>
      </c>
      <c r="AC20" s="98">
        <f t="shared" si="17"/>
        <v>1972.8232732400718</v>
      </c>
      <c r="AD20" s="98"/>
      <c r="AE20" s="98"/>
      <c r="AF20" s="98"/>
      <c r="AG20" s="98"/>
      <c r="AH20" s="98"/>
      <c r="AI20" s="98">
        <f t="shared" si="18"/>
        <v>1972.8232732400718</v>
      </c>
      <c r="AJ20" s="98">
        <f t="shared" si="18"/>
        <v>1972.8232732400718</v>
      </c>
      <c r="AK20" s="98">
        <f t="shared" si="18"/>
        <v>1972.8232732400718</v>
      </c>
      <c r="AL20" s="98">
        <f t="shared" si="18"/>
        <v>1972.8232732400718</v>
      </c>
      <c r="AM20" s="98">
        <f t="shared" si="18"/>
        <v>1972.8232732400718</v>
      </c>
      <c r="AN20" s="98">
        <f t="shared" si="18"/>
        <v>1972.8232732400718</v>
      </c>
      <c r="AO20" s="98">
        <f t="shared" si="18"/>
        <v>1972.8232732400718</v>
      </c>
      <c r="AP20" s="116">
        <f t="shared" si="22"/>
        <v>11836.93963944043</v>
      </c>
      <c r="AQ20" s="116">
        <f t="shared" si="23"/>
        <v>66996.393693892896</v>
      </c>
      <c r="AR20" s="98">
        <f>$AC20</f>
        <v>1972.8232732400718</v>
      </c>
      <c r="AS20" s="98">
        <f t="shared" si="24"/>
        <v>1972.8232732400718</v>
      </c>
      <c r="AT20" s="98">
        <f t="shared" si="24"/>
        <v>1972.8232732400718</v>
      </c>
      <c r="AU20" s="98">
        <f t="shared" si="24"/>
        <v>1972.8232732400718</v>
      </c>
      <c r="AV20" s="98">
        <f t="shared" si="24"/>
        <v>1972.8232732400718</v>
      </c>
      <c r="AW20" s="502">
        <v>115.958</v>
      </c>
      <c r="AX20" s="480">
        <v>107.246</v>
      </c>
      <c r="AY20" s="98">
        <f t="shared" si="19"/>
        <v>1.0812337989295639</v>
      </c>
      <c r="AZ20" s="98">
        <f>V20*AY20</f>
        <v>1982.2619647042004</v>
      </c>
      <c r="BA20" s="98">
        <f t="shared" si="25"/>
        <v>1982.2619647042004</v>
      </c>
      <c r="BB20" s="98">
        <f t="shared" si="25"/>
        <v>1982.2619647042004</v>
      </c>
      <c r="BC20" s="98">
        <f t="shared" si="25"/>
        <v>1982.2619647042004</v>
      </c>
      <c r="BD20" s="98">
        <f t="shared" si="25"/>
        <v>1982.2619647042004</v>
      </c>
      <c r="BE20" s="98">
        <f t="shared" si="25"/>
        <v>1982.2619647042004</v>
      </c>
      <c r="BF20" s="98">
        <f t="shared" si="25"/>
        <v>1982.2619647042004</v>
      </c>
      <c r="BG20" s="106">
        <f t="shared" si="21"/>
        <v>23739.95011912976</v>
      </c>
      <c r="BH20" s="106">
        <f t="shared" si="26"/>
        <v>43256.443574763136</v>
      </c>
    </row>
    <row r="21" spans="1:60" x14ac:dyDescent="0.2">
      <c r="A21" s="547" t="s">
        <v>784</v>
      </c>
      <c r="B21" s="548" t="s">
        <v>1010</v>
      </c>
      <c r="C21" s="101">
        <f>5</f>
        <v>5</v>
      </c>
      <c r="D21" s="91">
        <v>0.2</v>
      </c>
      <c r="E21" s="88">
        <v>41820</v>
      </c>
      <c r="F21" s="90">
        <f t="shared" si="0"/>
        <v>60</v>
      </c>
      <c r="G21" s="201">
        <f t="shared" si="1"/>
        <v>1.6666666666666667</v>
      </c>
      <c r="H21" s="233">
        <f t="shared" si="2"/>
        <v>6.666666666666667</v>
      </c>
      <c r="I21" s="90">
        <f t="shared" si="3"/>
        <v>4</v>
      </c>
      <c r="J21" s="233">
        <f t="shared" si="4"/>
        <v>93.333333333333343</v>
      </c>
      <c r="K21" s="90">
        <f t="shared" si="5"/>
        <v>56</v>
      </c>
      <c r="L21" s="233">
        <f t="shared" si="6"/>
        <v>11.666666666666668</v>
      </c>
      <c r="M21" s="90">
        <v>7</v>
      </c>
      <c r="N21" s="233">
        <f t="shared" si="7"/>
        <v>81.666666666666671</v>
      </c>
      <c r="O21" s="90">
        <f t="shared" si="8"/>
        <v>49</v>
      </c>
      <c r="P21" s="88">
        <v>43517</v>
      </c>
      <c r="Q21" s="88"/>
      <c r="R21" s="488">
        <v>41691</v>
      </c>
      <c r="S21" s="487">
        <v>130000</v>
      </c>
      <c r="T21" s="89">
        <f t="shared" si="9"/>
        <v>8666.6666666666661</v>
      </c>
      <c r="U21" s="233">
        <f t="shared" si="10"/>
        <v>134333.33333333334</v>
      </c>
      <c r="V21" s="233">
        <f t="shared" si="11"/>
        <v>2166.6666666666665</v>
      </c>
      <c r="W21" s="233">
        <f t="shared" si="12"/>
        <v>10833.333333333332</v>
      </c>
      <c r="X21" s="125">
        <f t="shared" si="13"/>
        <v>123500.00000000001</v>
      </c>
      <c r="Y21" s="100">
        <f t="shared" si="14"/>
        <v>112.72199999999999</v>
      </c>
      <c r="Z21" s="480">
        <v>112.79</v>
      </c>
      <c r="AA21" s="98">
        <f t="shared" si="15"/>
        <v>0.99939710967284323</v>
      </c>
      <c r="AB21" s="98">
        <f t="shared" si="16"/>
        <v>2205.3571428571436</v>
      </c>
      <c r="AC21" s="98">
        <f t="shared" si="17"/>
        <v>2204.027554367789</v>
      </c>
      <c r="AD21" s="98"/>
      <c r="AE21" s="98"/>
      <c r="AF21" s="98"/>
      <c r="AG21" s="98"/>
      <c r="AH21" s="98"/>
      <c r="AI21" s="98">
        <f t="shared" si="18"/>
        <v>2204.027554367789</v>
      </c>
      <c r="AJ21" s="98">
        <f t="shared" si="18"/>
        <v>2204.027554367789</v>
      </c>
      <c r="AK21" s="98">
        <f t="shared" si="18"/>
        <v>2204.027554367789</v>
      </c>
      <c r="AL21" s="98">
        <f t="shared" si="18"/>
        <v>2204.027554367789</v>
      </c>
      <c r="AM21" s="98">
        <f t="shared" si="18"/>
        <v>2204.027554367789</v>
      </c>
      <c r="AN21" s="98">
        <f t="shared" si="18"/>
        <v>2204.027554367789</v>
      </c>
      <c r="AO21" s="98">
        <f t="shared" si="18"/>
        <v>2204.027554367789</v>
      </c>
      <c r="AP21" s="116">
        <f t="shared" si="22"/>
        <v>13224.165326206734</v>
      </c>
      <c r="AQ21" s="116">
        <f t="shared" si="23"/>
        <v>110275.83467379329</v>
      </c>
      <c r="AR21" s="98">
        <f>$AC21</f>
        <v>2204.027554367789</v>
      </c>
      <c r="AS21" s="98">
        <f t="shared" si="24"/>
        <v>2204.027554367789</v>
      </c>
      <c r="AT21" s="98">
        <f t="shared" si="24"/>
        <v>2204.027554367789</v>
      </c>
      <c r="AU21" s="98">
        <f t="shared" si="24"/>
        <v>2204.027554367789</v>
      </c>
      <c r="AV21" s="98">
        <f t="shared" si="24"/>
        <v>2204.027554367789</v>
      </c>
      <c r="AW21" s="502">
        <v>115.958</v>
      </c>
      <c r="AX21" s="480">
        <v>112.79</v>
      </c>
      <c r="AY21" s="98">
        <f t="shared" si="19"/>
        <v>1.0280875964181222</v>
      </c>
      <c r="AZ21" s="98">
        <f>V21*AY21</f>
        <v>2227.523125572598</v>
      </c>
      <c r="BA21" s="98">
        <f t="shared" si="25"/>
        <v>2227.523125572598</v>
      </c>
      <c r="BB21" s="98">
        <f t="shared" si="25"/>
        <v>2227.523125572598</v>
      </c>
      <c r="BC21" s="98">
        <f t="shared" si="25"/>
        <v>2227.523125572598</v>
      </c>
      <c r="BD21" s="98">
        <f t="shared" si="25"/>
        <v>2227.523125572598</v>
      </c>
      <c r="BE21" s="98">
        <f t="shared" si="25"/>
        <v>2227.523125572598</v>
      </c>
      <c r="BF21" s="98">
        <f t="shared" si="25"/>
        <v>2227.523125572598</v>
      </c>
      <c r="BG21" s="106">
        <f t="shared" si="21"/>
        <v>26612.79965084713</v>
      </c>
      <c r="BH21" s="106">
        <f t="shared" si="26"/>
        <v>83663.035022946162</v>
      </c>
    </row>
    <row r="22" spans="1:60" x14ac:dyDescent="0.2">
      <c r="A22" s="503" t="s">
        <v>1040</v>
      </c>
      <c r="B22" s="493"/>
      <c r="C22" s="101"/>
      <c r="D22" s="91"/>
      <c r="E22" s="88"/>
      <c r="F22" s="90"/>
      <c r="G22" s="201"/>
      <c r="H22" s="233"/>
      <c r="I22" s="90"/>
      <c r="J22" s="233"/>
      <c r="K22" s="90"/>
      <c r="L22" s="233"/>
      <c r="M22" s="90"/>
      <c r="N22" s="233"/>
      <c r="O22" s="90"/>
      <c r="P22" s="88"/>
      <c r="Q22" s="88"/>
      <c r="R22" s="488"/>
      <c r="S22" s="487"/>
      <c r="T22" s="89"/>
      <c r="U22" s="233"/>
      <c r="V22" s="233"/>
      <c r="W22" s="233"/>
      <c r="X22" s="125"/>
      <c r="Y22" s="100"/>
      <c r="Z22" s="48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  <c r="AQ22" s="116">
        <f t="shared" si="23"/>
        <v>0</v>
      </c>
      <c r="AR22" s="98"/>
      <c r="AS22" s="98"/>
      <c r="AT22" s="98"/>
      <c r="AU22" s="98"/>
      <c r="AV22" s="98"/>
      <c r="AW22" s="502"/>
      <c r="AX22" s="480"/>
      <c r="AY22" s="98"/>
      <c r="AZ22" s="98"/>
      <c r="BA22" s="98"/>
      <c r="BB22" s="98"/>
      <c r="BC22" s="98"/>
      <c r="BD22" s="98"/>
      <c r="BE22" s="98"/>
      <c r="BF22" s="98"/>
      <c r="BG22" s="106"/>
      <c r="BH22" s="106">
        <f t="shared" si="26"/>
        <v>0</v>
      </c>
    </row>
    <row r="23" spans="1:60" x14ac:dyDescent="0.2">
      <c r="A23" s="87" t="s">
        <v>1039</v>
      </c>
      <c r="B23" s="244" t="s">
        <v>1005</v>
      </c>
      <c r="C23" s="101">
        <f>5</f>
        <v>5</v>
      </c>
      <c r="D23" s="91">
        <v>0.2</v>
      </c>
      <c r="E23" s="88">
        <v>41820</v>
      </c>
      <c r="F23" s="90">
        <f>C23*12</f>
        <v>60</v>
      </c>
      <c r="G23" s="201">
        <f>100/F23</f>
        <v>1.6666666666666667</v>
      </c>
      <c r="H23" s="233">
        <f>G23*I23</f>
        <v>103.33333333333334</v>
      </c>
      <c r="I23" s="90">
        <f>(YEAR(E23)-YEAR(R23))*12+MONTH(E23)-MONTH(R23)</f>
        <v>62</v>
      </c>
      <c r="J23" s="233">
        <f>K23*G23</f>
        <v>-3.3333333333333335</v>
      </c>
      <c r="K23" s="90">
        <f>F23-I23</f>
        <v>-2</v>
      </c>
      <c r="L23" s="233">
        <f>M23*G23</f>
        <v>13.333333333333334</v>
      </c>
      <c r="M23" s="90">
        <v>8</v>
      </c>
      <c r="N23" s="233">
        <f>O23*G23</f>
        <v>-16.666666666666668</v>
      </c>
      <c r="O23" s="90">
        <f>K23-M23</f>
        <v>-10</v>
      </c>
      <c r="P23" s="88">
        <v>41750</v>
      </c>
      <c r="Q23" s="88"/>
      <c r="R23" s="488">
        <v>39924</v>
      </c>
      <c r="S23" s="487">
        <v>700000</v>
      </c>
      <c r="T23" s="89">
        <f>S23*H23%</f>
        <v>723333.33333333337</v>
      </c>
      <c r="U23" s="233">
        <f>S23-(((2014-YEAR(R23))*12-MONTH(R23))*V23)</f>
        <v>46666.666666666744</v>
      </c>
      <c r="V23" s="233">
        <f>S23*G23%</f>
        <v>11666.666666666666</v>
      </c>
      <c r="W23" s="233">
        <f>U23</f>
        <v>46666.666666666744</v>
      </c>
      <c r="X23" s="125">
        <v>1</v>
      </c>
      <c r="Y23" s="100">
        <f>112.722</f>
        <v>112.72199999999999</v>
      </c>
      <c r="Z23" s="480">
        <v>135.613</v>
      </c>
      <c r="AA23" s="98">
        <f>Y23/Z23</f>
        <v>0.83120349818970152</v>
      </c>
      <c r="AB23" s="98"/>
      <c r="AC23" s="98">
        <f>AB23*AA23</f>
        <v>0</v>
      </c>
      <c r="AD23" s="98"/>
      <c r="AE23" s="98"/>
      <c r="AF23" s="98"/>
      <c r="AG23" s="98"/>
      <c r="AH23" s="98"/>
      <c r="AI23" s="98">
        <f t="shared" ref="AI23:AO23" si="27">$AC23</f>
        <v>0</v>
      </c>
      <c r="AJ23" s="98">
        <f t="shared" si="27"/>
        <v>0</v>
      </c>
      <c r="AK23" s="98">
        <f t="shared" si="27"/>
        <v>0</v>
      </c>
      <c r="AL23" s="98">
        <f t="shared" si="27"/>
        <v>0</v>
      </c>
      <c r="AM23" s="98">
        <f t="shared" si="27"/>
        <v>0</v>
      </c>
      <c r="AN23" s="98">
        <f t="shared" si="27"/>
        <v>0</v>
      </c>
      <c r="AO23" s="98">
        <f t="shared" si="27"/>
        <v>0</v>
      </c>
      <c r="AP23" s="116">
        <f>SUM(AI23:AN23)</f>
        <v>0</v>
      </c>
      <c r="AQ23" s="116">
        <f t="shared" si="23"/>
        <v>1</v>
      </c>
      <c r="AR23" s="98">
        <f>$AC23</f>
        <v>0</v>
      </c>
      <c r="AS23" s="98">
        <f>$AC23</f>
        <v>0</v>
      </c>
      <c r="AT23" s="98">
        <f>$AC23</f>
        <v>0</v>
      </c>
      <c r="AU23" s="98">
        <f>$AC23</f>
        <v>0</v>
      </c>
      <c r="AV23" s="98">
        <f>$AC23</f>
        <v>0</v>
      </c>
      <c r="AW23" s="502">
        <v>115.958</v>
      </c>
      <c r="AX23" s="480">
        <v>135.613</v>
      </c>
      <c r="AY23" s="98">
        <f>AW23/AX23</f>
        <v>0.85506551731766123</v>
      </c>
      <c r="AZ23" s="98"/>
      <c r="BA23" s="98">
        <f t="shared" ref="BA23:BF23" si="28">$AC23</f>
        <v>0</v>
      </c>
      <c r="BB23" s="98">
        <f t="shared" si="28"/>
        <v>0</v>
      </c>
      <c r="BC23" s="98">
        <f t="shared" si="28"/>
        <v>0</v>
      </c>
      <c r="BD23" s="98">
        <f t="shared" si="28"/>
        <v>0</v>
      </c>
      <c r="BE23" s="98">
        <f t="shared" si="28"/>
        <v>0</v>
      </c>
      <c r="BF23" s="98">
        <f t="shared" si="28"/>
        <v>0</v>
      </c>
      <c r="BG23" s="106">
        <f>(SUM(AR23:AV23))+(SUM(AZ23:BF23))</f>
        <v>0</v>
      </c>
      <c r="BH23" s="106">
        <f t="shared" si="26"/>
        <v>1</v>
      </c>
    </row>
    <row r="24" spans="1:60" x14ac:dyDescent="0.2">
      <c r="A24" s="491" t="s">
        <v>1030</v>
      </c>
      <c r="B24" s="244" t="s">
        <v>1029</v>
      </c>
    </row>
    <row r="25" spans="1:60" x14ac:dyDescent="0.2">
      <c r="A25" s="491" t="s">
        <v>1028</v>
      </c>
      <c r="B25" s="244" t="s">
        <v>1027</v>
      </c>
      <c r="BF25" s="17">
        <f>SUM(BF14:BF23)</f>
        <v>13865.062173147931</v>
      </c>
      <c r="BG25" s="17">
        <f>SUM(BG14:BG23)</f>
        <v>174486.52826942669</v>
      </c>
      <c r="BH25" s="527">
        <f>SUM(BH14:BH23)</f>
        <v>376800.20429674792</v>
      </c>
    </row>
    <row r="26" spans="1:60" x14ac:dyDescent="0.2">
      <c r="A26" s="171" t="s">
        <v>1039</v>
      </c>
      <c r="B26" s="145" t="s">
        <v>1026</v>
      </c>
    </row>
    <row r="27" spans="1:60" x14ac:dyDescent="0.2">
      <c r="A27" s="490" t="s">
        <v>1126</v>
      </c>
      <c r="B27" s="548" t="s">
        <v>1025</v>
      </c>
    </row>
    <row r="28" spans="1:60" x14ac:dyDescent="0.2">
      <c r="A28" s="493" t="s">
        <v>783</v>
      </c>
      <c r="B28" s="467"/>
    </row>
    <row r="29" spans="1:60" x14ac:dyDescent="0.2">
      <c r="A29" s="548" t="s">
        <v>1024</v>
      </c>
      <c r="B29" s="548" t="s">
        <v>1023</v>
      </c>
    </row>
    <row r="30" spans="1:60" x14ac:dyDescent="0.2">
      <c r="A30" s="490">
        <v>1</v>
      </c>
      <c r="B30" s="244" t="s">
        <v>1022</v>
      </c>
    </row>
    <row r="31" spans="1:60" x14ac:dyDescent="0.2">
      <c r="A31" s="490">
        <v>1</v>
      </c>
      <c r="B31" s="244" t="s">
        <v>1021</v>
      </c>
    </row>
    <row r="32" spans="1:60" x14ac:dyDescent="0.2">
      <c r="A32" s="490">
        <v>1</v>
      </c>
      <c r="B32" s="244" t="s">
        <v>1020</v>
      </c>
    </row>
    <row r="33" spans="1:2" x14ac:dyDescent="0.2">
      <c r="A33" s="490" t="s">
        <v>1019</v>
      </c>
      <c r="B33" s="548" t="s">
        <v>1018</v>
      </c>
    </row>
    <row r="34" spans="1:2" x14ac:dyDescent="0.2">
      <c r="A34" s="490">
        <v>1</v>
      </c>
      <c r="B34" s="244" t="s">
        <v>1017</v>
      </c>
    </row>
    <row r="35" spans="1:2" x14ac:dyDescent="0.2">
      <c r="A35" s="490" t="s">
        <v>1016</v>
      </c>
      <c r="B35" s="548" t="s">
        <v>1015</v>
      </c>
    </row>
    <row r="36" spans="1:2" x14ac:dyDescent="0.2">
      <c r="A36" s="490">
        <v>1</v>
      </c>
      <c r="B36" s="244" t="s">
        <v>1014</v>
      </c>
    </row>
    <row r="37" spans="1:2" x14ac:dyDescent="0.2">
      <c r="A37" s="490">
        <v>1</v>
      </c>
      <c r="B37" s="244" t="s">
        <v>1013</v>
      </c>
    </row>
    <row r="38" spans="1:2" x14ac:dyDescent="0.2">
      <c r="A38" s="490">
        <v>1</v>
      </c>
      <c r="B38" s="244" t="s">
        <v>1012</v>
      </c>
    </row>
    <row r="39" spans="1:2" x14ac:dyDescent="0.2">
      <c r="A39" s="491"/>
      <c r="B39" s="244"/>
    </row>
    <row r="40" spans="1:2" x14ac:dyDescent="0.2">
      <c r="A40" s="492" t="s">
        <v>1011</v>
      </c>
      <c r="B40" s="244" t="s">
        <v>1010</v>
      </c>
    </row>
    <row r="41" spans="1:2" x14ac:dyDescent="0.2">
      <c r="A41" s="490" t="s">
        <v>1009</v>
      </c>
      <c r="B41" s="548" t="s">
        <v>1008</v>
      </c>
    </row>
    <row r="42" spans="1:2" x14ac:dyDescent="0.2">
      <c r="A42" s="491"/>
      <c r="B42" s="244"/>
    </row>
    <row r="43" spans="1:2" x14ac:dyDescent="0.2">
      <c r="A43" s="490" t="s">
        <v>1007</v>
      </c>
      <c r="B43" s="548" t="s">
        <v>1006</v>
      </c>
    </row>
  </sheetData>
  <mergeCells count="25">
    <mergeCell ref="X11:X12"/>
    <mergeCell ref="AB11:AB12"/>
    <mergeCell ref="AC11:AC12"/>
    <mergeCell ref="Q11:Q12"/>
    <mergeCell ref="R11:R12"/>
    <mergeCell ref="S11:S12"/>
    <mergeCell ref="T11:T12"/>
    <mergeCell ref="U11:U12"/>
    <mergeCell ref="W11:W12"/>
    <mergeCell ref="P11:P12"/>
    <mergeCell ref="C10:O10"/>
    <mergeCell ref="Q10:S10"/>
    <mergeCell ref="T10:AO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N11:N12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24"/>
  <sheetViews>
    <sheetView topLeftCell="A7" zoomScale="130" zoomScaleNormal="130" workbookViewId="0">
      <selection activeCell="O19" sqref="O19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21.855468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0" width="8.42578125" style="16" customWidth="1"/>
    <col min="21" max="21" width="8.42578125" style="16" hidden="1" customWidth="1"/>
    <col min="22" max="24" width="8.42578125" style="16" customWidth="1"/>
    <col min="25" max="25" width="9.140625" style="150" customWidth="1"/>
    <col min="26" max="27" width="8.7109375" customWidth="1"/>
    <col min="28" max="28" width="8.7109375" style="121" customWidth="1"/>
    <col min="29" max="29" width="7.42578125" customWidth="1"/>
    <col min="30" max="31" width="10.42578125" customWidth="1"/>
    <col min="32" max="36" width="7.7109375" hidden="1" customWidth="1"/>
    <col min="37" max="37" width="11.28515625" hidden="1" customWidth="1"/>
    <col min="38" max="39" width="7.7109375" hidden="1" customWidth="1"/>
    <col min="40" max="40" width="8.28515625" hidden="1" customWidth="1"/>
    <col min="41" max="42" width="7.7109375" hidden="1" customWidth="1"/>
    <col min="43" max="43" width="7.7109375" customWidth="1"/>
    <col min="44" max="44" width="9.28515625" customWidth="1"/>
    <col min="45" max="45" width="10" style="113" customWidth="1"/>
    <col min="46" max="47" width="11.42578125" style="22"/>
  </cols>
  <sheetData>
    <row r="1" spans="1:45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37"/>
      <c r="W1" s="137"/>
      <c r="X1" s="137"/>
      <c r="Y1" s="147"/>
      <c r="Z1" s="139"/>
      <c r="AA1" s="139"/>
      <c r="AB1" s="140"/>
      <c r="AC1" s="139"/>
      <c r="AD1" s="139"/>
      <c r="AE1" s="139"/>
      <c r="AF1" s="139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9" t="s">
        <v>454</v>
      </c>
      <c r="AR1" s="137"/>
      <c r="AS1" s="141"/>
    </row>
    <row r="2" spans="1:45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37"/>
      <c r="W2" s="137"/>
      <c r="X2" s="137"/>
      <c r="Y2" s="147"/>
      <c r="Z2" s="139"/>
      <c r="AA2" s="139"/>
      <c r="AB2" s="140"/>
      <c r="AC2" s="139"/>
      <c r="AD2" s="139"/>
      <c r="AE2" s="139"/>
      <c r="AF2" s="139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41"/>
    </row>
    <row r="3" spans="1:45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4"/>
      <c r="W3" s="144"/>
      <c r="X3" s="144"/>
      <c r="Y3" s="148"/>
      <c r="Z3" s="139"/>
      <c r="AA3" s="139"/>
      <c r="AB3" s="140"/>
      <c r="AC3" s="139"/>
      <c r="AD3" s="139"/>
      <c r="AE3" s="139"/>
      <c r="AF3" s="139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41"/>
    </row>
    <row r="4" spans="1:45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4"/>
      <c r="W4" s="144"/>
      <c r="X4" s="144"/>
      <c r="Y4" s="148"/>
      <c r="Z4" s="139"/>
      <c r="AA4" s="139"/>
      <c r="AB4" s="140"/>
      <c r="AC4" s="139"/>
      <c r="AD4" s="139"/>
      <c r="AE4" s="139"/>
      <c r="AF4" s="139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41"/>
    </row>
    <row r="5" spans="1:45" x14ac:dyDescent="0.2">
      <c r="A5" s="137"/>
      <c r="B5" s="144" t="s">
        <v>836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37"/>
      <c r="W5" s="137"/>
      <c r="X5" s="137"/>
      <c r="Y5" s="147"/>
      <c r="Z5" s="139"/>
      <c r="AA5" s="139"/>
      <c r="AB5" s="140"/>
      <c r="AC5" s="139"/>
      <c r="AD5" s="139"/>
      <c r="AE5" s="139"/>
      <c r="AF5" s="139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41"/>
    </row>
    <row r="6" spans="1:45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37"/>
      <c r="W6" s="137"/>
      <c r="X6" s="137"/>
      <c r="Y6" s="147"/>
      <c r="Z6" s="139"/>
      <c r="AA6" s="139"/>
      <c r="AB6" s="140"/>
      <c r="AC6" s="139"/>
      <c r="AD6" s="139"/>
      <c r="AE6" s="139"/>
      <c r="AF6" s="139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41"/>
    </row>
    <row r="7" spans="1:45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37"/>
      <c r="W7" s="137"/>
      <c r="X7" s="137"/>
      <c r="Y7" s="147"/>
      <c r="Z7" s="139"/>
      <c r="AA7" s="139"/>
      <c r="AB7" s="140"/>
      <c r="AC7" s="139"/>
      <c r="AD7" s="139"/>
      <c r="AE7" s="139"/>
      <c r="AF7" s="139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41"/>
    </row>
    <row r="8" spans="1:45" s="22" customFormat="1" x14ac:dyDescent="0.2">
      <c r="D8" s="80"/>
      <c r="E8" s="80"/>
      <c r="R8" s="79"/>
      <c r="S8" s="79"/>
      <c r="T8" s="56"/>
      <c r="U8" s="56"/>
      <c r="V8" s="56"/>
      <c r="W8" s="56"/>
      <c r="X8" s="56"/>
      <c r="Y8" s="149"/>
      <c r="Z8" s="81"/>
      <c r="AA8" s="81"/>
      <c r="AB8" s="120"/>
      <c r="AC8" s="81"/>
      <c r="AD8" s="81"/>
      <c r="AE8" s="81"/>
      <c r="AF8" s="81"/>
      <c r="AS8" s="112"/>
    </row>
    <row r="9" spans="1:45" s="22" customFormat="1" ht="20.25" customHeight="1" x14ac:dyDescent="0.2">
      <c r="D9" s="80"/>
      <c r="E9" s="80"/>
      <c r="R9" s="79"/>
      <c r="S9" s="79"/>
      <c r="T9" s="56"/>
      <c r="U9" s="56"/>
      <c r="V9" s="56"/>
      <c r="W9" s="56"/>
      <c r="X9" s="56"/>
      <c r="Y9" s="149"/>
      <c r="Z9" s="81"/>
      <c r="AA9" s="81"/>
      <c r="AB9" s="120"/>
      <c r="AC9" s="81"/>
      <c r="AD9" s="81"/>
      <c r="AE9" s="81"/>
      <c r="AF9" s="81"/>
      <c r="AS9" s="112"/>
    </row>
    <row r="10" spans="1:45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383"/>
      <c r="V10" s="335"/>
      <c r="W10" s="551" t="s">
        <v>600</v>
      </c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  <c r="AQ10" s="551"/>
      <c r="AR10" s="551"/>
      <c r="AS10" s="551"/>
    </row>
    <row r="11" spans="1:45" ht="54" customHeight="1" x14ac:dyDescent="0.25">
      <c r="A11" s="552" t="s">
        <v>60</v>
      </c>
      <c r="B11" s="552" t="s">
        <v>0</v>
      </c>
      <c r="C11" s="384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381" t="s">
        <v>680</v>
      </c>
      <c r="O11" s="556" t="s">
        <v>643</v>
      </c>
      <c r="P11" s="382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377"/>
      <c r="V11" s="558" t="s">
        <v>746</v>
      </c>
      <c r="W11" s="558" t="s">
        <v>747</v>
      </c>
      <c r="X11" s="379"/>
      <c r="Y11" s="570" t="s">
        <v>720</v>
      </c>
      <c r="Z11" s="558" t="s">
        <v>750</v>
      </c>
      <c r="AA11" s="226" t="s">
        <v>16</v>
      </c>
      <c r="AB11" s="227" t="s">
        <v>16</v>
      </c>
      <c r="AC11" s="226" t="s">
        <v>17</v>
      </c>
      <c r="AD11" s="558" t="s">
        <v>678</v>
      </c>
      <c r="AE11" s="558" t="s">
        <v>687</v>
      </c>
      <c r="AF11" s="226" t="s">
        <v>3</v>
      </c>
      <c r="AG11" s="226" t="s">
        <v>4</v>
      </c>
      <c r="AH11" s="226" t="s">
        <v>5</v>
      </c>
      <c r="AI11" s="226" t="s">
        <v>6</v>
      </c>
      <c r="AJ11" s="226" t="s">
        <v>7</v>
      </c>
      <c r="AK11" s="226" t="s">
        <v>8</v>
      </c>
      <c r="AL11" s="226" t="s">
        <v>9</v>
      </c>
      <c r="AM11" s="226" t="s">
        <v>10</v>
      </c>
      <c r="AN11" s="226" t="s">
        <v>11</v>
      </c>
      <c r="AO11" s="226" t="s">
        <v>12</v>
      </c>
      <c r="AP11" s="226" t="s">
        <v>13</v>
      </c>
      <c r="AQ11" s="226" t="s">
        <v>14</v>
      </c>
      <c r="AR11" s="264" t="s">
        <v>682</v>
      </c>
      <c r="AS11" s="228" t="s">
        <v>66</v>
      </c>
    </row>
    <row r="12" spans="1:45" ht="32.25" customHeight="1" x14ac:dyDescent="0.25">
      <c r="A12" s="553"/>
      <c r="B12" s="553"/>
      <c r="C12" s="229" t="s">
        <v>810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378"/>
      <c r="V12" s="569"/>
      <c r="W12" s="569"/>
      <c r="X12" s="380" t="s">
        <v>721</v>
      </c>
      <c r="Y12" s="573"/>
      <c r="Z12" s="559"/>
      <c r="AA12" s="230" t="s">
        <v>21</v>
      </c>
      <c r="AB12" s="231" t="s">
        <v>22</v>
      </c>
      <c r="AC12" s="230" t="s">
        <v>23</v>
      </c>
      <c r="AD12" s="559"/>
      <c r="AE12" s="559"/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>
        <v>2015</v>
      </c>
      <c r="AQ12" s="230">
        <v>2015</v>
      </c>
      <c r="AR12" s="230">
        <v>2015</v>
      </c>
      <c r="AS12" s="230" t="s">
        <v>67</v>
      </c>
    </row>
    <row r="13" spans="1:45" s="22" customFormat="1" x14ac:dyDescent="0.2">
      <c r="A13" s="172" t="s">
        <v>68</v>
      </c>
      <c r="B13" s="172"/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8"/>
      <c r="W13" s="18"/>
      <c r="X13" s="18"/>
      <c r="Y13" s="154"/>
      <c r="Z13" s="110"/>
      <c r="AA13" s="110"/>
      <c r="AB13" s="126"/>
      <c r="AC13" s="110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17"/>
    </row>
    <row r="14" spans="1:45" s="22" customFormat="1" x14ac:dyDescent="0.2">
      <c r="A14" s="172" t="s">
        <v>69</v>
      </c>
      <c r="B14" s="13"/>
      <c r="C14" s="87"/>
      <c r="D14" s="20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8"/>
      <c r="W14" s="18"/>
      <c r="X14" s="18"/>
      <c r="Y14" s="154"/>
      <c r="Z14" s="110"/>
      <c r="AA14" s="110"/>
      <c r="AB14" s="158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17"/>
    </row>
    <row r="15" spans="1:45" s="22" customFormat="1" x14ac:dyDescent="0.2">
      <c r="A15" s="395" t="s">
        <v>837</v>
      </c>
      <c r="B15" s="388" t="s">
        <v>838</v>
      </c>
      <c r="C15" s="405" t="s">
        <v>836</v>
      </c>
      <c r="D15" s="389">
        <v>3</v>
      </c>
      <c r="E15" s="410">
        <v>0.33329999999999999</v>
      </c>
      <c r="F15" s="391">
        <v>42185</v>
      </c>
      <c r="G15" s="411">
        <v>36</v>
      </c>
      <c r="H15" s="393">
        <f>100/G15</f>
        <v>2.7777777777777777</v>
      </c>
      <c r="I15" s="394">
        <f t="shared" ref="I15" si="0">H15*J15</f>
        <v>0</v>
      </c>
      <c r="J15" s="392">
        <v>0</v>
      </c>
      <c r="K15" s="394">
        <f>L15*H15</f>
        <v>100</v>
      </c>
      <c r="L15" s="392">
        <f>G15-J15</f>
        <v>36</v>
      </c>
      <c r="M15" s="394">
        <f>N15*H15</f>
        <v>2.7777777777777777</v>
      </c>
      <c r="N15" s="392">
        <v>1</v>
      </c>
      <c r="O15" s="394">
        <f t="shared" ref="O15:Q15" si="1">K15-M15</f>
        <v>97.222222222222229</v>
      </c>
      <c r="P15" s="392">
        <f t="shared" si="1"/>
        <v>35</v>
      </c>
      <c r="Q15" s="392">
        <f t="shared" si="1"/>
        <v>-94.444444444444457</v>
      </c>
      <c r="R15" s="411" t="s">
        <v>839</v>
      </c>
      <c r="S15" s="420">
        <v>42339</v>
      </c>
      <c r="T15" s="413">
        <v>7999.01</v>
      </c>
      <c r="U15" s="402"/>
      <c r="V15" s="414">
        <v>0</v>
      </c>
      <c r="W15" s="414">
        <v>0</v>
      </c>
      <c r="X15" s="401">
        <v>0</v>
      </c>
      <c r="Y15" s="398">
        <v>0</v>
      </c>
      <c r="Z15" s="415">
        <f>W15-Y15</f>
        <v>0</v>
      </c>
      <c r="AA15" s="399">
        <v>115.958</v>
      </c>
      <c r="AB15" s="399">
        <v>118.532</v>
      </c>
      <c r="AC15" s="399">
        <f>AA15/AB15</f>
        <v>0.97828434515573859</v>
      </c>
      <c r="AD15" s="401">
        <f>T15*M15/100/K15*100/1</f>
        <v>222.1947222222222</v>
      </c>
      <c r="AE15" s="401">
        <f>AD15*AC15</f>
        <v>217.36961832622788</v>
      </c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>
        <v>217.37</v>
      </c>
      <c r="AR15" s="401">
        <f>SUM(AF15:AQ15)</f>
        <v>217.37</v>
      </c>
      <c r="AS15" s="402">
        <f>T15-AR15</f>
        <v>7781.64</v>
      </c>
    </row>
    <row r="16" spans="1:45" s="22" customFormat="1" x14ac:dyDescent="0.2">
      <c r="A16" s="172" t="s">
        <v>68</v>
      </c>
      <c r="B16" s="172"/>
      <c r="C16" s="87"/>
      <c r="D16" s="42"/>
      <c r="E16" s="38"/>
      <c r="F16" s="88"/>
      <c r="G16" s="24"/>
      <c r="H16" s="201"/>
      <c r="I16" s="90"/>
      <c r="J16" s="90"/>
      <c r="K16" s="90"/>
      <c r="L16" s="90"/>
      <c r="M16" s="90"/>
      <c r="N16" s="90"/>
      <c r="O16" s="90"/>
      <c r="P16" s="90"/>
      <c r="Q16" s="90"/>
      <c r="R16" s="29"/>
      <c r="S16" s="29"/>
      <c r="T16" s="18"/>
      <c r="U16" s="110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116"/>
      <c r="AL16" s="116"/>
      <c r="AM16" s="116"/>
      <c r="AN16" s="116"/>
      <c r="AO16" s="116"/>
      <c r="AP16" s="116"/>
      <c r="AQ16" s="116"/>
      <c r="AR16" s="116"/>
      <c r="AS16" s="116"/>
    </row>
    <row r="17" spans="1:47" s="22" customFormat="1" x14ac:dyDescent="0.2">
      <c r="A17" s="172" t="s">
        <v>114</v>
      </c>
      <c r="B17" s="145"/>
      <c r="C17" s="87"/>
      <c r="D17" s="8"/>
      <c r="E17" s="38"/>
      <c r="F17" s="24"/>
      <c r="G17" s="24"/>
      <c r="H17" s="256"/>
      <c r="I17" s="24"/>
      <c r="J17" s="24"/>
      <c r="K17" s="24"/>
      <c r="L17" s="24"/>
      <c r="M17" s="24"/>
      <c r="N17" s="24"/>
      <c r="O17" s="24"/>
      <c r="P17" s="24"/>
      <c r="Q17" s="24"/>
      <c r="R17" s="29"/>
      <c r="S17" s="29"/>
      <c r="T17" s="18"/>
      <c r="U17" s="110"/>
      <c r="V17" s="109"/>
      <c r="W17" s="109"/>
      <c r="X17" s="109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116"/>
      <c r="AL17" s="116"/>
      <c r="AM17" s="116"/>
      <c r="AN17" s="116"/>
      <c r="AO17" s="116"/>
      <c r="AP17" s="116"/>
      <c r="AQ17" s="116"/>
      <c r="AR17" s="116"/>
      <c r="AS17" s="116"/>
    </row>
    <row r="18" spans="1:47" s="449" customFormat="1" x14ac:dyDescent="0.2">
      <c r="A18" s="434" t="s">
        <v>869</v>
      </c>
      <c r="B18" s="434" t="s">
        <v>860</v>
      </c>
      <c r="C18" s="450" t="s">
        <v>836</v>
      </c>
      <c r="D18" s="435">
        <v>10</v>
      </c>
      <c r="E18" s="451">
        <v>0.1</v>
      </c>
      <c r="F18" s="437">
        <v>42335</v>
      </c>
      <c r="G18" s="438">
        <v>120</v>
      </c>
      <c r="H18" s="439">
        <f>100/G18</f>
        <v>0.83333333333333337</v>
      </c>
      <c r="I18" s="440">
        <f>H18*J18</f>
        <v>0</v>
      </c>
      <c r="J18" s="438">
        <f>(YEAR(F18)-YEAR(S18))*12+MONTH(F18)-MONTH(S18)</f>
        <v>0</v>
      </c>
      <c r="K18" s="440">
        <f>L18*H18</f>
        <v>100</v>
      </c>
      <c r="L18" s="438">
        <f>G18-J18</f>
        <v>120</v>
      </c>
      <c r="M18" s="440">
        <f>N18*H18</f>
        <v>0.83333333333333337</v>
      </c>
      <c r="N18" s="438">
        <v>1</v>
      </c>
      <c r="O18" s="440">
        <f>P18*H18</f>
        <v>99.166666666666671</v>
      </c>
      <c r="P18" s="438">
        <f t="shared" ref="P18" si="2">L18-N18</f>
        <v>119</v>
      </c>
      <c r="Q18" s="438">
        <v>0</v>
      </c>
      <c r="R18" s="438">
        <v>4658</v>
      </c>
      <c r="S18" s="437">
        <v>42335</v>
      </c>
      <c r="T18" s="443">
        <v>734</v>
      </c>
      <c r="U18" s="445">
        <f>H18*T18/100</f>
        <v>6.1166666666666671</v>
      </c>
      <c r="V18" s="512"/>
      <c r="W18" s="512"/>
      <c r="X18" s="447"/>
      <c r="Y18" s="447"/>
      <c r="Z18" s="447">
        <f>Y18*X18</f>
        <v>0</v>
      </c>
      <c r="AA18" s="447">
        <v>115.958</v>
      </c>
      <c r="AB18" s="447">
        <v>118.051</v>
      </c>
      <c r="AC18" s="447">
        <f>AA18/AB18</f>
        <v>0.98227037466857536</v>
      </c>
      <c r="AD18" s="447">
        <f>H18*T18/100</f>
        <v>6.1166666666666671</v>
      </c>
      <c r="AE18" s="447">
        <f>AD18*AC18</f>
        <v>6.0082204583894532</v>
      </c>
      <c r="AF18" s="447"/>
      <c r="AG18" s="447"/>
      <c r="AH18" s="447"/>
      <c r="AI18" s="447"/>
      <c r="AJ18" s="447"/>
      <c r="AK18" s="448"/>
      <c r="AL18" s="448"/>
      <c r="AM18" s="448"/>
      <c r="AN18" s="448"/>
      <c r="AO18" s="448"/>
      <c r="AP18" s="448"/>
      <c r="AQ18" s="448">
        <f>6.01</f>
        <v>6.01</v>
      </c>
      <c r="AR18" s="448">
        <f>AQ18</f>
        <v>6.01</v>
      </c>
      <c r="AS18" s="448">
        <f>T18-AE18</f>
        <v>727.99177954161053</v>
      </c>
      <c r="AT18" s="22"/>
      <c r="AU18" s="22"/>
    </row>
    <row r="19" spans="1:47" x14ac:dyDescent="0.2">
      <c r="R19" s="243"/>
      <c r="V19" s="336"/>
      <c r="W19" s="336"/>
      <c r="Y19" s="149"/>
      <c r="Z19" s="351"/>
      <c r="AD19" s="263"/>
      <c r="AE19" s="263"/>
      <c r="AF19" s="263" t="e">
        <f>SUM(#REF!)</f>
        <v>#REF!</v>
      </c>
      <c r="AG19" s="263" t="e">
        <f>SUM(#REF!)</f>
        <v>#REF!</v>
      </c>
      <c r="AH19" s="263" t="e">
        <f>SUM(#REF!)</f>
        <v>#REF!</v>
      </c>
      <c r="AI19" s="263" t="e">
        <f>SUM(#REF!)</f>
        <v>#REF!</v>
      </c>
      <c r="AJ19" s="263" t="e">
        <f>SUM(#REF!)</f>
        <v>#REF!</v>
      </c>
      <c r="AK19" s="263">
        <f>SUM(AK15:AK15)</f>
        <v>0</v>
      </c>
      <c r="AL19" s="263"/>
      <c r="AM19" s="263"/>
      <c r="AN19" s="263"/>
      <c r="AO19" s="263"/>
      <c r="AP19" s="263">
        <f>SUM(AP15:AP15)</f>
        <v>0</v>
      </c>
      <c r="AQ19" s="263">
        <f t="shared" ref="AQ19:AR19" si="3">SUM(AQ15:AQ18)</f>
        <v>223.38</v>
      </c>
      <c r="AR19" s="509">
        <f t="shared" si="3"/>
        <v>223.38</v>
      </c>
      <c r="AS19" s="509">
        <f>SUM(AS15:AS18)</f>
        <v>8509.6317795416107</v>
      </c>
    </row>
    <row r="20" spans="1:47" s="150" customFormat="1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V20" s="135"/>
      <c r="W20" s="135"/>
      <c r="X20" s="135"/>
      <c r="Z20"/>
      <c r="AA20"/>
      <c r="AB20" s="121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 s="22"/>
      <c r="AS20" s="112"/>
      <c r="AT20" s="149"/>
      <c r="AU20" s="149"/>
    </row>
    <row r="21" spans="1:47" s="150" customFormat="1" x14ac:dyDescent="0.2">
      <c r="A21" s="310" t="s">
        <v>719</v>
      </c>
      <c r="B21" s="311"/>
      <c r="C21" s="311"/>
      <c r="D21" s="312"/>
      <c r="E21" s="312"/>
      <c r="F21"/>
      <c r="G21"/>
      <c r="H21"/>
      <c r="I21"/>
      <c r="J21"/>
      <c r="K21"/>
      <c r="L21"/>
      <c r="M21"/>
      <c r="N21"/>
      <c r="O21"/>
      <c r="P21"/>
      <c r="Q21"/>
      <c r="R21" s="28"/>
      <c r="S21" s="28"/>
      <c r="T21" s="16"/>
      <c r="U21" s="16"/>
      <c r="V21" s="16"/>
      <c r="W21" s="16"/>
      <c r="X21" s="16"/>
      <c r="Z21"/>
      <c r="AA21"/>
      <c r="AB21" s="130"/>
      <c r="AC21"/>
      <c r="AD21"/>
      <c r="AE21" s="16"/>
      <c r="AF21"/>
      <c r="AG21"/>
      <c r="AH21"/>
      <c r="AI21"/>
      <c r="AJ21"/>
      <c r="AK21"/>
      <c r="AL21"/>
      <c r="AM21"/>
      <c r="AN21"/>
      <c r="AO21"/>
      <c r="AP21"/>
      <c r="AQ21"/>
      <c r="AR21" s="510"/>
      <c r="AS21" s="112"/>
      <c r="AT21" s="149"/>
      <c r="AU21" s="149"/>
    </row>
    <row r="22" spans="1:47" ht="30.75" hidden="1" customHeight="1" x14ac:dyDescent="0.2">
      <c r="A22" s="568" t="s">
        <v>613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239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511"/>
      <c r="AS22" s="511"/>
    </row>
    <row r="23" spans="1:47" hidden="1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R23" s="22"/>
      <c r="AS23" s="112"/>
    </row>
    <row r="24" spans="1:47" x14ac:dyDescent="0.2">
      <c r="AR24" s="22"/>
      <c r="AS24" s="112"/>
    </row>
  </sheetData>
  <mergeCells count="26">
    <mergeCell ref="A22:AA23"/>
    <mergeCell ref="R11:R12"/>
    <mergeCell ref="S11:S12"/>
    <mergeCell ref="T11:T12"/>
    <mergeCell ref="V11:V12"/>
    <mergeCell ref="W11:W12"/>
    <mergeCell ref="Y11:Y12"/>
    <mergeCell ref="J11:J12"/>
    <mergeCell ref="K11:K12"/>
    <mergeCell ref="L11:L12"/>
    <mergeCell ref="M11:M12"/>
    <mergeCell ref="O11:O12"/>
    <mergeCell ref="Q11:Q12"/>
    <mergeCell ref="D10:P10"/>
    <mergeCell ref="R10:T10"/>
    <mergeCell ref="W10:AS10"/>
    <mergeCell ref="A11:A12"/>
    <mergeCell ref="B11:B12"/>
    <mergeCell ref="E11:E12"/>
    <mergeCell ref="F11:F12"/>
    <mergeCell ref="G11:G12"/>
    <mergeCell ref="H11:H12"/>
    <mergeCell ref="I11:I12"/>
    <mergeCell ref="Z11:Z12"/>
    <mergeCell ref="AD11:AD12"/>
    <mergeCell ref="AE11:AE12"/>
  </mergeCells>
  <printOptions horizontalCentered="1"/>
  <pageMargins left="0.59055118110236227" right="0.19685039370078741" top="0.39370078740157483" bottom="0.39370078740157483" header="0" footer="0"/>
  <pageSetup paperSize="5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S58"/>
  <sheetViews>
    <sheetView topLeftCell="N18" zoomScale="110" zoomScaleNormal="110" workbookViewId="0">
      <selection activeCell="V55" sqref="V55:Z58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9" width="7.7109375" hidden="1" customWidth="1"/>
    <col min="40" max="40" width="7.7109375" customWidth="1"/>
    <col min="41" max="41" width="9.28515625" customWidth="1"/>
    <col min="42" max="42" width="10" style="113" customWidth="1"/>
    <col min="43" max="45" width="11.42578125" style="22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464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58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57" t="s">
        <v>680</v>
      </c>
      <c r="O11" s="556" t="s">
        <v>643</v>
      </c>
      <c r="P11" s="26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464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172" t="s">
        <v>68</v>
      </c>
      <c r="B13" s="41"/>
      <c r="C13" s="41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172" t="s">
        <v>661</v>
      </c>
      <c r="B14" s="13"/>
      <c r="C14" s="13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145" t="s">
        <v>122</v>
      </c>
      <c r="B15" s="145" t="s">
        <v>689</v>
      </c>
      <c r="C15" s="87" t="s">
        <v>660</v>
      </c>
      <c r="D15" s="101">
        <v>3</v>
      </c>
      <c r="E15" s="91">
        <v>0.33329999999999999</v>
      </c>
      <c r="F15" s="88">
        <v>42185</v>
      </c>
      <c r="G15" s="90">
        <v>36</v>
      </c>
      <c r="H15" s="201">
        <f>100/G15</f>
        <v>2.7777777777777777</v>
      </c>
      <c r="I15" s="233">
        <f>H15*J15</f>
        <v>113.88888888888889</v>
      </c>
      <c r="J15" s="90">
        <f>(YEAR(F15)-YEAR(S15))*12+MONTH(F15)-MONTH(S15)</f>
        <v>41</v>
      </c>
      <c r="K15" s="233">
        <f>L15*H15</f>
        <v>0</v>
      </c>
      <c r="L15" s="90">
        <v>0</v>
      </c>
      <c r="M15" s="233">
        <f>N15*H15</f>
        <v>0</v>
      </c>
      <c r="N15" s="90">
        <v>0</v>
      </c>
      <c r="O15" s="233">
        <f>P15*H15</f>
        <v>0</v>
      </c>
      <c r="P15" s="90">
        <f t="shared" ref="P15" si="0">L15-N15</f>
        <v>0</v>
      </c>
      <c r="Q15" s="88">
        <v>42428</v>
      </c>
      <c r="R15" s="88" t="s">
        <v>595</v>
      </c>
      <c r="S15" s="88">
        <v>40909</v>
      </c>
      <c r="T15" s="89">
        <v>4500</v>
      </c>
      <c r="U15" s="89">
        <v>1</v>
      </c>
      <c r="V15" s="152">
        <v>0</v>
      </c>
      <c r="W15" s="233">
        <v>0</v>
      </c>
      <c r="X15" s="100">
        <v>115.958</v>
      </c>
      <c r="Y15" s="125">
        <v>104.28400000000001</v>
      </c>
      <c r="Z15" s="100">
        <f>X15/Y15</f>
        <v>1.1119443059337961</v>
      </c>
      <c r="AA15" s="98">
        <v>0</v>
      </c>
      <c r="AB15" s="98">
        <v>0</v>
      </c>
      <c r="AC15" s="98"/>
      <c r="AD15" s="98"/>
      <c r="AE15" s="98"/>
      <c r="AF15" s="98"/>
      <c r="AG15" s="98"/>
      <c r="AH15" s="98">
        <v>0</v>
      </c>
      <c r="AI15" s="98">
        <v>0</v>
      </c>
      <c r="AJ15" s="98"/>
      <c r="AK15" s="98"/>
      <c r="AL15" s="98"/>
      <c r="AM15" s="98"/>
      <c r="AN15" s="98"/>
      <c r="AO15" s="98">
        <f>SUM(AC15:AN15)</f>
        <v>0</v>
      </c>
      <c r="AP15" s="116">
        <f>U15-AO15</f>
        <v>1</v>
      </c>
      <c r="AQ15" s="168"/>
    </row>
    <row r="16" spans="1:43" s="22" customFormat="1" x14ac:dyDescent="0.2">
      <c r="A16" s="172" t="s">
        <v>68</v>
      </c>
      <c r="B16" s="172"/>
      <c r="C16" s="87"/>
      <c r="D16" s="42"/>
      <c r="E16" s="38"/>
      <c r="F16" s="88"/>
      <c r="G16" s="24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29"/>
      <c r="S16" s="29"/>
      <c r="T16" s="18"/>
      <c r="U16" s="18"/>
      <c r="V16" s="154"/>
      <c r="W16" s="110"/>
      <c r="X16" s="100"/>
      <c r="Y16" s="125"/>
      <c r="Z16" s="10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116"/>
    </row>
    <row r="17" spans="1:42" s="22" customFormat="1" x14ac:dyDescent="0.2">
      <c r="A17" s="172" t="s">
        <v>86</v>
      </c>
      <c r="B17" s="46"/>
      <c r="C17" s="87"/>
      <c r="D17" s="8"/>
      <c r="E17" s="38"/>
      <c r="F17" s="88"/>
      <c r="G17" s="24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29"/>
      <c r="S17" s="29"/>
      <c r="T17" s="18"/>
      <c r="U17" s="18"/>
      <c r="V17" s="154"/>
      <c r="W17" s="110"/>
      <c r="X17" s="100"/>
      <c r="Y17" s="125"/>
      <c r="Z17" s="100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16"/>
    </row>
    <row r="18" spans="1:42" s="22" customFormat="1" x14ac:dyDescent="0.2">
      <c r="A18" s="145" t="s">
        <v>123</v>
      </c>
      <c r="B18" s="145" t="s">
        <v>662</v>
      </c>
      <c r="C18" s="87" t="s">
        <v>660</v>
      </c>
      <c r="D18" s="101">
        <v>10</v>
      </c>
      <c r="E18" s="96">
        <v>0.1</v>
      </c>
      <c r="F18" s="88">
        <v>42185</v>
      </c>
      <c r="G18" s="90">
        <v>120</v>
      </c>
      <c r="H18" s="201">
        <f t="shared" ref="H18:H21" si="1">100/G18</f>
        <v>0.83333333333333337</v>
      </c>
      <c r="I18" s="233">
        <f>H18*J18</f>
        <v>64.166666666666671</v>
      </c>
      <c r="J18" s="90">
        <f>(YEAR(F18)-YEAR(S18))*12+MONTH(F18)-MONTH(S18)</f>
        <v>77</v>
      </c>
      <c r="K18" s="233">
        <f>L18*H18</f>
        <v>35.833333333333336</v>
      </c>
      <c r="L18" s="90">
        <f>G18-J18</f>
        <v>43</v>
      </c>
      <c r="M18" s="233">
        <f>N18*H18</f>
        <v>5.8333333333333339</v>
      </c>
      <c r="N18" s="90">
        <v>7</v>
      </c>
      <c r="O18" s="233">
        <f>P18*H18</f>
        <v>30</v>
      </c>
      <c r="P18" s="90">
        <f t="shared" ref="P18" si="2">L18-N18</f>
        <v>36</v>
      </c>
      <c r="Q18" s="90"/>
      <c r="R18" s="90" t="s">
        <v>663</v>
      </c>
      <c r="S18" s="88">
        <v>39814</v>
      </c>
      <c r="T18" s="89">
        <v>1768.99</v>
      </c>
      <c r="U18" s="89">
        <v>633.91</v>
      </c>
      <c r="V18" s="152">
        <v>73.7</v>
      </c>
      <c r="W18" s="233">
        <v>0</v>
      </c>
      <c r="X18" s="100">
        <v>115.958</v>
      </c>
      <c r="Y18" s="125">
        <v>134.071</v>
      </c>
      <c r="Z18" s="100">
        <f>X18/Y18</f>
        <v>0.8648999410759971</v>
      </c>
      <c r="AA18" s="98">
        <f>U18*M18/100/K18*100/7</f>
        <v>14.74209302325581</v>
      </c>
      <c r="AB18" s="98">
        <f>AA18*Z18</f>
        <v>12.750435387150818</v>
      </c>
      <c r="AC18" s="98"/>
      <c r="AD18" s="98"/>
      <c r="AE18" s="98"/>
      <c r="AF18" s="98"/>
      <c r="AG18" s="98"/>
      <c r="AH18" s="98">
        <v>12.75</v>
      </c>
      <c r="AI18" s="98">
        <v>12.75</v>
      </c>
      <c r="AJ18" s="98">
        <v>12.75</v>
      </c>
      <c r="AK18" s="98">
        <v>12.75</v>
      </c>
      <c r="AL18" s="98">
        <v>12.75</v>
      </c>
      <c r="AM18" s="98">
        <v>12.75</v>
      </c>
      <c r="AN18" s="98">
        <v>12.75</v>
      </c>
      <c r="AO18" s="98">
        <f>SUM(AC18:AN18)</f>
        <v>89.25</v>
      </c>
      <c r="AP18" s="116">
        <f>U18-AO18</f>
        <v>544.66</v>
      </c>
    </row>
    <row r="19" spans="1:42" s="22" customFormat="1" x14ac:dyDescent="0.2">
      <c r="A19" s="145" t="s">
        <v>123</v>
      </c>
      <c r="B19" s="145" t="s">
        <v>37</v>
      </c>
      <c r="C19" s="87" t="s">
        <v>660</v>
      </c>
      <c r="D19" s="101">
        <v>10</v>
      </c>
      <c r="E19" s="96">
        <v>0.1</v>
      </c>
      <c r="F19" s="88">
        <v>42185</v>
      </c>
      <c r="G19" s="90">
        <v>120</v>
      </c>
      <c r="H19" s="201">
        <f t="shared" si="1"/>
        <v>0.83333333333333337</v>
      </c>
      <c r="I19" s="233">
        <f>H19*J19</f>
        <v>34.166666666666671</v>
      </c>
      <c r="J19" s="90">
        <f>(YEAR(F19)-YEAR(S19))*12+MONTH(F19)-MONTH(S19)</f>
        <v>41</v>
      </c>
      <c r="K19" s="233">
        <f>L19*H19</f>
        <v>65.833333333333343</v>
      </c>
      <c r="L19" s="90">
        <f>G19-J19</f>
        <v>79</v>
      </c>
      <c r="M19" s="233">
        <f>N19*H19</f>
        <v>5.8333333333333339</v>
      </c>
      <c r="N19" s="90">
        <v>7</v>
      </c>
      <c r="O19" s="233">
        <f>P19*H19</f>
        <v>60</v>
      </c>
      <c r="P19" s="90">
        <f t="shared" ref="P19:P22" si="3">L19-N19</f>
        <v>72</v>
      </c>
      <c r="Q19" s="90"/>
      <c r="R19" s="90" t="s">
        <v>595</v>
      </c>
      <c r="S19" s="88">
        <v>40909</v>
      </c>
      <c r="T19" s="89">
        <v>1250</v>
      </c>
      <c r="U19" s="89">
        <v>822.88</v>
      </c>
      <c r="V19" s="152">
        <v>52.1</v>
      </c>
      <c r="W19" s="233"/>
      <c r="X19" s="100">
        <v>115.958</v>
      </c>
      <c r="Y19" s="125">
        <v>104.28400000000001</v>
      </c>
      <c r="Z19" s="100">
        <f>X19/Y19</f>
        <v>1.1119443059337961</v>
      </c>
      <c r="AA19" s="98">
        <f>U19*M19/100/K19*100/7</f>
        <v>10.41620253164557</v>
      </c>
      <c r="AB19" s="98">
        <f>AA19*Z19</f>
        <v>11.582237094516485</v>
      </c>
      <c r="AC19" s="98"/>
      <c r="AD19" s="98"/>
      <c r="AE19" s="98"/>
      <c r="AF19" s="98"/>
      <c r="AG19" s="98"/>
      <c r="AH19" s="98">
        <v>11.58</v>
      </c>
      <c r="AI19" s="98">
        <v>11.58</v>
      </c>
      <c r="AJ19" s="98">
        <v>11.58</v>
      </c>
      <c r="AK19" s="98">
        <v>11.58</v>
      </c>
      <c r="AL19" s="98">
        <v>11.58</v>
      </c>
      <c r="AM19" s="98">
        <v>11.58</v>
      </c>
      <c r="AN19" s="98">
        <v>11.58</v>
      </c>
      <c r="AO19" s="98">
        <f>SUM(AC19:AN19)</f>
        <v>81.06</v>
      </c>
      <c r="AP19" s="116">
        <f>U19-AO19</f>
        <v>741.81999999999994</v>
      </c>
    </row>
    <row r="20" spans="1:42" s="22" customFormat="1" x14ac:dyDescent="0.2">
      <c r="A20" s="145" t="s">
        <v>123</v>
      </c>
      <c r="B20" s="145" t="s">
        <v>664</v>
      </c>
      <c r="C20" s="87" t="s">
        <v>660</v>
      </c>
      <c r="D20" s="101">
        <v>10</v>
      </c>
      <c r="E20" s="96">
        <v>0.1</v>
      </c>
      <c r="F20" s="88">
        <v>42185</v>
      </c>
      <c r="G20" s="90">
        <v>120</v>
      </c>
      <c r="H20" s="201">
        <f t="shared" si="1"/>
        <v>0.83333333333333337</v>
      </c>
      <c r="I20" s="233">
        <f>H20*J20</f>
        <v>109.16666666666667</v>
      </c>
      <c r="J20" s="90">
        <f>(YEAR(F20)-YEAR(S20))*12+MONTH(F20)-MONTH(S20)</f>
        <v>131</v>
      </c>
      <c r="K20" s="233">
        <f>L20*H20</f>
        <v>0</v>
      </c>
      <c r="L20" s="90">
        <v>0</v>
      </c>
      <c r="M20" s="233">
        <f>N20*H20</f>
        <v>0</v>
      </c>
      <c r="N20" s="90">
        <v>0</v>
      </c>
      <c r="O20" s="233">
        <f>P20*H20</f>
        <v>0</v>
      </c>
      <c r="P20" s="90">
        <f t="shared" si="3"/>
        <v>0</v>
      </c>
      <c r="Q20" s="90"/>
      <c r="R20" s="90" t="s">
        <v>665</v>
      </c>
      <c r="S20" s="88">
        <v>38187</v>
      </c>
      <c r="T20" s="89">
        <v>900</v>
      </c>
      <c r="U20" s="89">
        <v>52.5</v>
      </c>
      <c r="V20" s="152">
        <v>37.5</v>
      </c>
      <c r="W20" s="233"/>
      <c r="X20" s="100">
        <v>115.958</v>
      </c>
      <c r="Y20" s="125">
        <v>109.02200000000001</v>
      </c>
      <c r="Z20" s="100">
        <f>X20/Y20</f>
        <v>1.0636201867512978</v>
      </c>
      <c r="AA20" s="98">
        <f>U20/7</f>
        <v>7.5</v>
      </c>
      <c r="AB20" s="98">
        <f>AA20*Z20</f>
        <v>7.9771514006347335</v>
      </c>
      <c r="AC20" s="98"/>
      <c r="AD20" s="98"/>
      <c r="AE20" s="98"/>
      <c r="AF20" s="98"/>
      <c r="AG20" s="98"/>
      <c r="AH20" s="98">
        <v>7.98</v>
      </c>
      <c r="AI20" s="98">
        <v>7.98</v>
      </c>
      <c r="AJ20" s="98">
        <v>7.98</v>
      </c>
      <c r="AK20" s="98">
        <v>7.98</v>
      </c>
      <c r="AL20" s="98">
        <v>7.98</v>
      </c>
      <c r="AM20" s="98">
        <v>7.98</v>
      </c>
      <c r="AN20" s="98">
        <v>3.62</v>
      </c>
      <c r="AO20" s="98">
        <f>SUM(AC20:AN20)</f>
        <v>51.500000000000007</v>
      </c>
      <c r="AP20" s="116">
        <f>U20-AO20</f>
        <v>0.99999999999999289</v>
      </c>
    </row>
    <row r="21" spans="1:42" s="22" customFormat="1" x14ac:dyDescent="0.2">
      <c r="A21" s="145" t="s">
        <v>123</v>
      </c>
      <c r="B21" s="145" t="s">
        <v>666</v>
      </c>
      <c r="C21" s="87" t="s">
        <v>660</v>
      </c>
      <c r="D21" s="101">
        <v>10</v>
      </c>
      <c r="E21" s="96">
        <v>0.1</v>
      </c>
      <c r="F21" s="88">
        <v>42185</v>
      </c>
      <c r="G21" s="90">
        <v>120</v>
      </c>
      <c r="H21" s="201">
        <f t="shared" si="1"/>
        <v>0.83333333333333337</v>
      </c>
      <c r="I21" s="233">
        <f>H21*J21</f>
        <v>86.666666666666671</v>
      </c>
      <c r="J21" s="90">
        <f>(YEAR(F21)-YEAR(S21))*12+MONTH(F21)-MONTH(S21)</f>
        <v>104</v>
      </c>
      <c r="K21" s="233">
        <f>L21*H21</f>
        <v>13.333333333333334</v>
      </c>
      <c r="L21" s="90">
        <f>G21-J21</f>
        <v>16</v>
      </c>
      <c r="M21" s="233">
        <f>N21*H21</f>
        <v>5.8333333333333339</v>
      </c>
      <c r="N21" s="90">
        <v>7</v>
      </c>
      <c r="O21" s="233">
        <f>P21*H21</f>
        <v>7.5</v>
      </c>
      <c r="P21" s="90">
        <f t="shared" si="3"/>
        <v>9</v>
      </c>
      <c r="Q21" s="90"/>
      <c r="R21" s="90" t="s">
        <v>667</v>
      </c>
      <c r="S21" s="88">
        <v>39020</v>
      </c>
      <c r="T21" s="89">
        <v>3200</v>
      </c>
      <c r="U21" s="89">
        <v>453.3</v>
      </c>
      <c r="V21" s="152">
        <v>133.35</v>
      </c>
      <c r="W21" s="233">
        <v>0</v>
      </c>
      <c r="X21" s="100">
        <v>115.958</v>
      </c>
      <c r="Y21" s="125">
        <v>119.691</v>
      </c>
      <c r="Z21" s="100">
        <f>X21/Y21</f>
        <v>0.96881135590813006</v>
      </c>
      <c r="AA21" s="98">
        <f>U21*M21/100/K21*100/7</f>
        <v>28.331250000000004</v>
      </c>
      <c r="AB21" s="98">
        <f>AA21*Z21</f>
        <v>27.447636727072215</v>
      </c>
      <c r="AC21" s="98"/>
      <c r="AD21" s="98"/>
      <c r="AE21" s="98"/>
      <c r="AF21" s="98"/>
      <c r="AG21" s="98"/>
      <c r="AH21" s="98">
        <v>27.45</v>
      </c>
      <c r="AI21" s="98">
        <v>27.45</v>
      </c>
      <c r="AJ21" s="98">
        <v>27.45</v>
      </c>
      <c r="AK21" s="98">
        <v>27.45</v>
      </c>
      <c r="AL21" s="98">
        <v>27.45</v>
      </c>
      <c r="AM21" s="98">
        <v>27.45</v>
      </c>
      <c r="AN21" s="98">
        <v>27.45</v>
      </c>
      <c r="AO21" s="98">
        <f>SUM(AC21:AN21)</f>
        <v>192.14999999999998</v>
      </c>
      <c r="AP21" s="116">
        <f>U21-AO21</f>
        <v>261.15000000000003</v>
      </c>
    </row>
    <row r="22" spans="1:42" s="22" customFormat="1" x14ac:dyDescent="0.2">
      <c r="A22" s="13" t="s">
        <v>112</v>
      </c>
      <c r="B22" s="145" t="s">
        <v>668</v>
      </c>
      <c r="C22" s="87" t="s">
        <v>660</v>
      </c>
      <c r="D22" s="101">
        <v>10</v>
      </c>
      <c r="E22" s="96">
        <v>0.1</v>
      </c>
      <c r="F22" s="88">
        <v>42185</v>
      </c>
      <c r="G22" s="90">
        <v>120</v>
      </c>
      <c r="H22" s="201">
        <f>100/G22</f>
        <v>0.83333333333333337</v>
      </c>
      <c r="I22" s="233">
        <f>H22*J22</f>
        <v>34.166666666666671</v>
      </c>
      <c r="J22" s="90">
        <f>(YEAR(F22)-YEAR(S22))*12+MONTH(F22)-MONTH(S22)</f>
        <v>41</v>
      </c>
      <c r="K22" s="233">
        <f>L22*H22</f>
        <v>65.833333333333343</v>
      </c>
      <c r="L22" s="90">
        <f>G22-J22</f>
        <v>79</v>
      </c>
      <c r="M22" s="233">
        <f>N22*H22</f>
        <v>5.8333333333333339</v>
      </c>
      <c r="N22" s="90">
        <v>7</v>
      </c>
      <c r="O22" s="233">
        <f>P22*H22</f>
        <v>60</v>
      </c>
      <c r="P22" s="90">
        <f t="shared" si="3"/>
        <v>72</v>
      </c>
      <c r="Q22" s="90"/>
      <c r="R22" s="90" t="s">
        <v>595</v>
      </c>
      <c r="S22" s="88">
        <v>40909</v>
      </c>
      <c r="T22" s="89">
        <v>2099</v>
      </c>
      <c r="U22" s="89">
        <v>1381.86</v>
      </c>
      <c r="V22" s="152">
        <v>87.45</v>
      </c>
      <c r="W22" s="233"/>
      <c r="X22" s="100">
        <v>115.958</v>
      </c>
      <c r="Y22" s="125">
        <v>104.28400000000001</v>
      </c>
      <c r="Z22" s="100">
        <f>X22/Y22</f>
        <v>1.1119443059337961</v>
      </c>
      <c r="AA22" s="98">
        <f>U22*M22/100/K22*100/7</f>
        <v>17.491898734177216</v>
      </c>
      <c r="AB22" s="98">
        <f>AA22*Z22</f>
        <v>19.450017197438932</v>
      </c>
      <c r="AC22" s="98"/>
      <c r="AD22" s="98"/>
      <c r="AE22" s="98"/>
      <c r="AF22" s="98"/>
      <c r="AG22" s="98"/>
      <c r="AH22" s="98">
        <v>19.45</v>
      </c>
      <c r="AI22" s="98">
        <v>19.45</v>
      </c>
      <c r="AJ22" s="98">
        <v>19.45</v>
      </c>
      <c r="AK22" s="98">
        <v>19.45</v>
      </c>
      <c r="AL22" s="98">
        <v>19.45</v>
      </c>
      <c r="AM22" s="98">
        <v>19.45</v>
      </c>
      <c r="AN22" s="98">
        <v>19.45</v>
      </c>
      <c r="AO22" s="98">
        <f>SUM(AC22:AN22)</f>
        <v>136.15</v>
      </c>
      <c r="AP22" s="116">
        <f>U22-AO22</f>
        <v>1245.7099999999998</v>
      </c>
    </row>
    <row r="23" spans="1:42" s="22" customFormat="1" x14ac:dyDescent="0.2">
      <c r="A23" s="172" t="s">
        <v>690</v>
      </c>
      <c r="B23" s="172"/>
      <c r="C23" s="87"/>
      <c r="D23" s="42"/>
      <c r="E23" s="38"/>
      <c r="F23" s="88"/>
      <c r="G23" s="24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24"/>
      <c r="S23" s="29"/>
      <c r="T23" s="18"/>
      <c r="U23" s="18"/>
      <c r="V23" s="154"/>
      <c r="W23" s="233"/>
      <c r="X23" s="100"/>
      <c r="Y23" s="128"/>
      <c r="Z23" s="100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116"/>
    </row>
    <row r="24" spans="1:42" s="22" customFormat="1" x14ac:dyDescent="0.2">
      <c r="A24" s="172" t="s">
        <v>669</v>
      </c>
      <c r="B24" s="145"/>
      <c r="C24" s="87"/>
      <c r="D24" s="8"/>
      <c r="E24" s="38"/>
      <c r="F24" s="88"/>
      <c r="G24" s="24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24"/>
      <c r="S24" s="29"/>
      <c r="T24" s="18"/>
      <c r="U24" s="18"/>
      <c r="V24" s="154"/>
      <c r="W24" s="233"/>
      <c r="X24" s="100"/>
      <c r="Y24" s="125"/>
      <c r="Z24" s="100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116"/>
    </row>
    <row r="25" spans="1:42" s="22" customFormat="1" x14ac:dyDescent="0.2">
      <c r="A25" s="145" t="s">
        <v>124</v>
      </c>
      <c r="B25" s="145" t="s">
        <v>670</v>
      </c>
      <c r="C25" s="87" t="s">
        <v>660</v>
      </c>
      <c r="D25" s="101">
        <v>10</v>
      </c>
      <c r="E25" s="96">
        <v>0.1</v>
      </c>
      <c r="F25" s="88">
        <v>42185</v>
      </c>
      <c r="G25" s="90">
        <v>120</v>
      </c>
      <c r="H25" s="201">
        <f>100/G25</f>
        <v>0.83333333333333337</v>
      </c>
      <c r="I25" s="233">
        <f>H25*J25</f>
        <v>64.166666666666671</v>
      </c>
      <c r="J25" s="90">
        <f>(YEAR(F25)-YEAR(S25))*12+MONTH(F25)-MONTH(S25)</f>
        <v>77</v>
      </c>
      <c r="K25" s="233">
        <f>L25*H25</f>
        <v>35.833333333333336</v>
      </c>
      <c r="L25" s="90">
        <f>G25-J25</f>
        <v>43</v>
      </c>
      <c r="M25" s="233">
        <f>N25*H25</f>
        <v>5.8333333333333339</v>
      </c>
      <c r="N25" s="90">
        <v>7</v>
      </c>
      <c r="O25" s="233">
        <f>P25*H25</f>
        <v>30</v>
      </c>
      <c r="P25" s="90">
        <f t="shared" ref="P25" si="4">L25-N25</f>
        <v>36</v>
      </c>
      <c r="Q25" s="90"/>
      <c r="R25" s="90" t="s">
        <v>595</v>
      </c>
      <c r="S25" s="88">
        <v>39814</v>
      </c>
      <c r="T25" s="89">
        <v>590</v>
      </c>
      <c r="U25" s="89">
        <v>211.38</v>
      </c>
      <c r="V25" s="152">
        <v>24.6</v>
      </c>
      <c r="W25" s="233"/>
      <c r="X25" s="100">
        <v>115.958</v>
      </c>
      <c r="Y25" s="125">
        <v>134.071</v>
      </c>
      <c r="Z25" s="100">
        <f>X25/Y25</f>
        <v>0.8648999410759971</v>
      </c>
      <c r="AA25" s="98">
        <f>U25*M25/100/K25*100/7</f>
        <v>4.9158139534883736</v>
      </c>
      <c r="AB25" s="98">
        <f>AA25*Z25</f>
        <v>4.2516871987126583</v>
      </c>
      <c r="AC25" s="98"/>
      <c r="AD25" s="98"/>
      <c r="AE25" s="98"/>
      <c r="AF25" s="98"/>
      <c r="AG25" s="98"/>
      <c r="AH25" s="98">
        <v>4.25</v>
      </c>
      <c r="AI25" s="98">
        <v>4.25</v>
      </c>
      <c r="AJ25" s="98">
        <v>4.25</v>
      </c>
      <c r="AK25" s="98">
        <v>4.25</v>
      </c>
      <c r="AL25" s="98">
        <v>4.25</v>
      </c>
      <c r="AM25" s="98">
        <v>4.25</v>
      </c>
      <c r="AN25" s="98">
        <v>4.25</v>
      </c>
      <c r="AO25" s="98">
        <f>SUM(AC25:AN25)</f>
        <v>29.75</v>
      </c>
      <c r="AP25" s="116">
        <f>U25-AO25</f>
        <v>181.63</v>
      </c>
    </row>
    <row r="26" spans="1:42" s="22" customFormat="1" x14ac:dyDescent="0.2">
      <c r="A26" s="172" t="s">
        <v>690</v>
      </c>
      <c r="B26" s="172"/>
      <c r="C26" s="87"/>
      <c r="D26" s="42"/>
      <c r="E26" s="38"/>
      <c r="F26" s="88"/>
      <c r="G26" s="24"/>
      <c r="H26" s="201"/>
      <c r="I26" s="90"/>
      <c r="J26" s="90"/>
      <c r="K26" s="90"/>
      <c r="L26" s="90"/>
      <c r="M26" s="90"/>
      <c r="N26" s="90"/>
      <c r="O26" s="90"/>
      <c r="P26" s="90"/>
      <c r="Q26" s="90"/>
      <c r="R26" s="24"/>
      <c r="S26" s="29"/>
      <c r="T26" s="18"/>
      <c r="U26" s="18"/>
      <c r="V26" s="154"/>
      <c r="W26" s="233"/>
      <c r="X26" s="100"/>
      <c r="Y26" s="125"/>
      <c r="Z26" s="100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116"/>
    </row>
    <row r="27" spans="1:42" s="22" customFormat="1" x14ac:dyDescent="0.2">
      <c r="A27" s="172" t="s">
        <v>671</v>
      </c>
      <c r="B27" s="145"/>
      <c r="C27" s="87"/>
      <c r="D27" s="8"/>
      <c r="E27" s="38"/>
      <c r="F27" s="88"/>
      <c r="G27" s="24"/>
      <c r="H27" s="201"/>
      <c r="I27" s="233"/>
      <c r="J27" s="90"/>
      <c r="K27" s="233"/>
      <c r="L27" s="90"/>
      <c r="M27" s="233"/>
      <c r="N27" s="90"/>
      <c r="O27" s="233"/>
      <c r="P27" s="90"/>
      <c r="Q27" s="24"/>
      <c r="R27" s="24"/>
      <c r="S27" s="29"/>
      <c r="T27" s="18"/>
      <c r="U27" s="18"/>
      <c r="V27" s="154"/>
      <c r="W27" s="110"/>
      <c r="X27" s="100"/>
      <c r="Y27" s="125"/>
      <c r="Z27" s="100"/>
      <c r="AA27" s="98"/>
      <c r="AB27" s="98"/>
      <c r="AC27" s="109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16"/>
    </row>
    <row r="28" spans="1:42" s="22" customFormat="1" x14ac:dyDescent="0.2">
      <c r="A28" s="145" t="s">
        <v>125</v>
      </c>
      <c r="B28" s="145" t="s">
        <v>672</v>
      </c>
      <c r="C28" s="87" t="s">
        <v>660</v>
      </c>
      <c r="D28" s="101">
        <v>10</v>
      </c>
      <c r="E28" s="96">
        <v>0.1</v>
      </c>
      <c r="F28" s="88">
        <v>42185</v>
      </c>
      <c r="G28" s="90">
        <v>120</v>
      </c>
      <c r="H28" s="201">
        <f>100/G28</f>
        <v>0.83333333333333337</v>
      </c>
      <c r="I28" s="233">
        <f>H28*J28</f>
        <v>64.166666666666671</v>
      </c>
      <c r="J28" s="90">
        <f>(YEAR(F28)-YEAR(S28))*12+MONTH(F28)-MONTH(S28)</f>
        <v>77</v>
      </c>
      <c r="K28" s="233">
        <f>L28*H28</f>
        <v>35.833333333333336</v>
      </c>
      <c r="L28" s="90">
        <f>G28-J28</f>
        <v>43</v>
      </c>
      <c r="M28" s="233">
        <f>N28*H28</f>
        <v>5.8333333333333339</v>
      </c>
      <c r="N28" s="90">
        <v>7</v>
      </c>
      <c r="O28" s="233">
        <f>P28*H28</f>
        <v>30</v>
      </c>
      <c r="P28" s="90">
        <f t="shared" ref="P28:P29" si="5">L28-N28</f>
        <v>36</v>
      </c>
      <c r="Q28" s="90"/>
      <c r="R28" s="90" t="s">
        <v>595</v>
      </c>
      <c r="S28" s="88">
        <v>39814</v>
      </c>
      <c r="T28" s="89">
        <v>86.9</v>
      </c>
      <c r="U28" s="89">
        <v>31.19</v>
      </c>
      <c r="V28" s="152">
        <v>3.6</v>
      </c>
      <c r="W28" s="110"/>
      <c r="X28" s="100">
        <v>115.958</v>
      </c>
      <c r="Y28" s="125">
        <v>134.071</v>
      </c>
      <c r="Z28" s="100">
        <f>X28/Y28</f>
        <v>0.8648999410759971</v>
      </c>
      <c r="AA28" s="98">
        <f>U28*M28/100/K28*100/7</f>
        <v>0.72534883720930232</v>
      </c>
      <c r="AB28" s="98">
        <f>AA28*Z28</f>
        <v>0.6273541665618686</v>
      </c>
      <c r="AC28" s="98"/>
      <c r="AD28" s="98"/>
      <c r="AE28" s="98"/>
      <c r="AF28" s="98"/>
      <c r="AG28" s="98"/>
      <c r="AH28" s="98">
        <v>0.63</v>
      </c>
      <c r="AI28" s="98">
        <v>0.63</v>
      </c>
      <c r="AJ28" s="98">
        <v>0.63</v>
      </c>
      <c r="AK28" s="98">
        <v>0.63</v>
      </c>
      <c r="AL28" s="98">
        <v>0.63</v>
      </c>
      <c r="AM28" s="98">
        <v>0.63</v>
      </c>
      <c r="AN28" s="98">
        <v>0.63</v>
      </c>
      <c r="AO28" s="98">
        <f>SUM(AC28:AN28)</f>
        <v>4.41</v>
      </c>
      <c r="AP28" s="116">
        <f>U28-AO28</f>
        <v>26.78</v>
      </c>
    </row>
    <row r="29" spans="1:42" s="22" customFormat="1" x14ac:dyDescent="0.2">
      <c r="A29" s="145" t="s">
        <v>125</v>
      </c>
      <c r="B29" s="145" t="s">
        <v>673</v>
      </c>
      <c r="C29" s="87" t="s">
        <v>660</v>
      </c>
      <c r="D29" s="101">
        <v>10</v>
      </c>
      <c r="E29" s="96">
        <v>0.1</v>
      </c>
      <c r="F29" s="88">
        <v>42185</v>
      </c>
      <c r="G29" s="90">
        <v>120</v>
      </c>
      <c r="H29" s="201">
        <f>100/G29</f>
        <v>0.83333333333333337</v>
      </c>
      <c r="I29" s="233">
        <f>H29*J29</f>
        <v>64.166666666666671</v>
      </c>
      <c r="J29" s="90">
        <f>(YEAR(F29)-YEAR(S29))*12+MONTH(F29)-MONTH(S29)</f>
        <v>77</v>
      </c>
      <c r="K29" s="233">
        <f>L29*H29</f>
        <v>35.833333333333336</v>
      </c>
      <c r="L29" s="90">
        <f>G29-J29</f>
        <v>43</v>
      </c>
      <c r="M29" s="233">
        <f>N29*H29</f>
        <v>5.8333333333333339</v>
      </c>
      <c r="N29" s="90">
        <v>7</v>
      </c>
      <c r="O29" s="233">
        <f>P29*H29</f>
        <v>30</v>
      </c>
      <c r="P29" s="90">
        <f t="shared" si="5"/>
        <v>36</v>
      </c>
      <c r="Q29" s="90"/>
      <c r="R29" s="90" t="s">
        <v>595</v>
      </c>
      <c r="S29" s="88">
        <v>39814</v>
      </c>
      <c r="T29" s="89">
        <v>300</v>
      </c>
      <c r="U29" s="89">
        <v>107.5</v>
      </c>
      <c r="V29" s="152">
        <v>12.5</v>
      </c>
      <c r="W29" s="233"/>
      <c r="X29" s="100">
        <v>115.958</v>
      </c>
      <c r="Y29" s="125">
        <v>134.071</v>
      </c>
      <c r="Z29" s="100">
        <f>X29/Y29</f>
        <v>0.8648999410759971</v>
      </c>
      <c r="AA29" s="98">
        <f>U29*M29/100/K29*100/7</f>
        <v>2.5</v>
      </c>
      <c r="AB29" s="98">
        <f>AA29*Z29</f>
        <v>2.1622498526899929</v>
      </c>
      <c r="AC29" s="98"/>
      <c r="AD29" s="98"/>
      <c r="AE29" s="98"/>
      <c r="AF29" s="98"/>
      <c r="AG29" s="98"/>
      <c r="AH29" s="98">
        <v>2.16</v>
      </c>
      <c r="AI29" s="98">
        <v>2.16</v>
      </c>
      <c r="AJ29" s="98">
        <v>2.16</v>
      </c>
      <c r="AK29" s="98">
        <v>2.16</v>
      </c>
      <c r="AL29" s="98">
        <v>2.16</v>
      </c>
      <c r="AM29" s="98">
        <v>2.16</v>
      </c>
      <c r="AN29" s="98">
        <v>2.16</v>
      </c>
      <c r="AO29" s="98">
        <f>SUM(AC29:AN29)</f>
        <v>15.120000000000001</v>
      </c>
      <c r="AP29" s="116">
        <f>U29-AO29</f>
        <v>92.38</v>
      </c>
    </row>
    <row r="30" spans="1:42" s="22" customFormat="1" x14ac:dyDescent="0.2">
      <c r="A30" s="172" t="s">
        <v>690</v>
      </c>
      <c r="B30" s="172"/>
      <c r="C30" s="87"/>
      <c r="D30" s="42"/>
      <c r="E30" s="38"/>
      <c r="F30" s="88"/>
      <c r="G30" s="24"/>
      <c r="H30" s="201"/>
      <c r="I30" s="233"/>
      <c r="J30" s="90"/>
      <c r="K30" s="233"/>
      <c r="L30" s="90"/>
      <c r="M30" s="233"/>
      <c r="N30" s="90"/>
      <c r="O30" s="233"/>
      <c r="P30" s="90"/>
      <c r="Q30" s="24"/>
      <c r="R30" s="24"/>
      <c r="S30" s="29"/>
      <c r="T30" s="18"/>
      <c r="U30" s="18"/>
      <c r="V30" s="154"/>
      <c r="W30" s="110"/>
      <c r="X30" s="100"/>
      <c r="Y30" s="125"/>
      <c r="Z30" s="100"/>
      <c r="AA30" s="98"/>
      <c r="AB30" s="98"/>
      <c r="AC30" s="109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16"/>
    </row>
    <row r="31" spans="1:42" s="22" customFormat="1" x14ac:dyDescent="0.2">
      <c r="A31" s="172" t="s">
        <v>87</v>
      </c>
      <c r="B31" s="145"/>
      <c r="C31" s="87"/>
      <c r="D31" s="8"/>
      <c r="E31" s="38"/>
      <c r="F31" s="88"/>
      <c r="G31" s="24"/>
      <c r="H31" s="201"/>
      <c r="I31" s="233"/>
      <c r="J31" s="90"/>
      <c r="K31" s="233"/>
      <c r="L31" s="90"/>
      <c r="M31" s="233"/>
      <c r="N31" s="90"/>
      <c r="O31" s="233"/>
      <c r="P31" s="90"/>
      <c r="Q31" s="90"/>
      <c r="R31" s="24"/>
      <c r="S31" s="29"/>
      <c r="T31" s="18"/>
      <c r="U31" s="18"/>
      <c r="V31" s="154"/>
      <c r="W31" s="110"/>
      <c r="X31" s="110"/>
      <c r="Y31" s="125"/>
      <c r="Z31" s="110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16"/>
    </row>
    <row r="32" spans="1:42" s="22" customFormat="1" x14ac:dyDescent="0.2">
      <c r="A32" s="244" t="s">
        <v>126</v>
      </c>
      <c r="B32" s="244" t="s">
        <v>674</v>
      </c>
      <c r="C32" s="245" t="s">
        <v>660</v>
      </c>
      <c r="D32" s="246">
        <v>10</v>
      </c>
      <c r="E32" s="247">
        <v>0.1</v>
      </c>
      <c r="F32" s="88">
        <v>42185</v>
      </c>
      <c r="G32" s="248">
        <v>120</v>
      </c>
      <c r="H32" s="201">
        <f>100/G32</f>
        <v>0.83333333333333337</v>
      </c>
      <c r="I32" s="233">
        <f>H32*J32</f>
        <v>104.16666666666667</v>
      </c>
      <c r="J32" s="90">
        <f>(YEAR(F32)-YEAR(S32))*12+MONTH(F32)-MONTH(S32)</f>
        <v>125</v>
      </c>
      <c r="K32" s="233">
        <f>L32*H32</f>
        <v>0</v>
      </c>
      <c r="L32" s="90">
        <v>0</v>
      </c>
      <c r="M32" s="233">
        <f>N32*H32</f>
        <v>0</v>
      </c>
      <c r="N32" s="90">
        <v>0</v>
      </c>
      <c r="O32" s="233">
        <f>P32*H32</f>
        <v>0</v>
      </c>
      <c r="P32" s="90">
        <f t="shared" ref="P32:P35" si="6">L32-N32</f>
        <v>0</v>
      </c>
      <c r="Q32" s="90"/>
      <c r="R32" s="251" t="s">
        <v>595</v>
      </c>
      <c r="S32" s="249">
        <v>38353</v>
      </c>
      <c r="T32" s="250">
        <v>853</v>
      </c>
      <c r="U32" s="250">
        <v>1</v>
      </c>
      <c r="V32" s="252">
        <v>0</v>
      </c>
      <c r="W32" s="233"/>
      <c r="X32" s="100">
        <v>115.958</v>
      </c>
      <c r="Y32" s="125">
        <v>112.554</v>
      </c>
      <c r="Z32" s="100">
        <f>X32/Y32</f>
        <v>1.0302432610124916</v>
      </c>
      <c r="AA32" s="98">
        <v>0</v>
      </c>
      <c r="AB32" s="98">
        <v>0</v>
      </c>
      <c r="AC32" s="98"/>
      <c r="AD32" s="98"/>
      <c r="AE32" s="98"/>
      <c r="AF32" s="98"/>
      <c r="AG32" s="98"/>
      <c r="AH32" s="98">
        <v>0</v>
      </c>
      <c r="AI32" s="98">
        <v>0</v>
      </c>
      <c r="AJ32" s="98">
        <v>0</v>
      </c>
      <c r="AK32" s="98">
        <v>0</v>
      </c>
      <c r="AL32" s="98">
        <v>0</v>
      </c>
      <c r="AM32" s="98">
        <v>0</v>
      </c>
      <c r="AN32" s="98">
        <v>0</v>
      </c>
      <c r="AO32" s="98">
        <f>SUM(AC32:AN32)</f>
        <v>0</v>
      </c>
      <c r="AP32" s="116">
        <f>U32-AO32</f>
        <v>1</v>
      </c>
    </row>
    <row r="33" spans="1:45" s="22" customFormat="1" x14ac:dyDescent="0.2">
      <c r="A33" s="244" t="s">
        <v>126</v>
      </c>
      <c r="B33" s="244" t="s">
        <v>674</v>
      </c>
      <c r="C33" s="245" t="s">
        <v>660</v>
      </c>
      <c r="D33" s="246">
        <v>10</v>
      </c>
      <c r="E33" s="247">
        <v>0.1</v>
      </c>
      <c r="F33" s="88">
        <v>42185</v>
      </c>
      <c r="G33" s="248">
        <v>120</v>
      </c>
      <c r="H33" s="201">
        <f>100/G33</f>
        <v>0.83333333333333337</v>
      </c>
      <c r="I33" s="233">
        <f>H33*J33</f>
        <v>104.16666666666667</v>
      </c>
      <c r="J33" s="90">
        <f>(YEAR(F33)-YEAR(S33))*12+MONTH(F33)-MONTH(S33)</f>
        <v>125</v>
      </c>
      <c r="K33" s="233">
        <f>L33*H33</f>
        <v>0</v>
      </c>
      <c r="L33" s="90">
        <v>0</v>
      </c>
      <c r="M33" s="233">
        <f>N33*H33</f>
        <v>0</v>
      </c>
      <c r="N33" s="90">
        <v>0</v>
      </c>
      <c r="O33" s="233">
        <f>P33*H33</f>
        <v>0</v>
      </c>
      <c r="P33" s="90">
        <f t="shared" si="6"/>
        <v>0</v>
      </c>
      <c r="Q33" s="90"/>
      <c r="R33" s="251" t="s">
        <v>595</v>
      </c>
      <c r="S33" s="249">
        <v>38353</v>
      </c>
      <c r="T33" s="250">
        <v>989</v>
      </c>
      <c r="U33" s="250">
        <v>1</v>
      </c>
      <c r="V33" s="252">
        <v>0</v>
      </c>
      <c r="W33" s="110"/>
      <c r="X33" s="100">
        <v>115.958</v>
      </c>
      <c r="Y33" s="125">
        <v>112.554</v>
      </c>
      <c r="Z33" s="100">
        <f>X33/Y33</f>
        <v>1.0302432610124916</v>
      </c>
      <c r="AA33" s="98">
        <v>0</v>
      </c>
      <c r="AB33" s="98">
        <v>0</v>
      </c>
      <c r="AC33" s="98"/>
      <c r="AD33" s="98"/>
      <c r="AE33" s="98"/>
      <c r="AF33" s="98"/>
      <c r="AG33" s="98"/>
      <c r="AH33" s="98">
        <v>0</v>
      </c>
      <c r="AI33" s="98">
        <v>0</v>
      </c>
      <c r="AJ33" s="98">
        <v>0</v>
      </c>
      <c r="AK33" s="98">
        <v>0</v>
      </c>
      <c r="AL33" s="98">
        <v>0</v>
      </c>
      <c r="AM33" s="98">
        <v>0</v>
      </c>
      <c r="AN33" s="98">
        <v>0</v>
      </c>
      <c r="AO33" s="98">
        <f>SUM(AC33:AN33)</f>
        <v>0</v>
      </c>
      <c r="AP33" s="116">
        <f>U33-AO33</f>
        <v>1</v>
      </c>
    </row>
    <row r="34" spans="1:45" s="449" customFormat="1" x14ac:dyDescent="0.2">
      <c r="A34" s="434" t="s">
        <v>126</v>
      </c>
      <c r="B34" s="434" t="s">
        <v>862</v>
      </c>
      <c r="C34" s="450" t="s">
        <v>660</v>
      </c>
      <c r="D34" s="435">
        <v>10</v>
      </c>
      <c r="E34" s="451">
        <v>0.1</v>
      </c>
      <c r="F34" s="437">
        <v>42334</v>
      </c>
      <c r="G34" s="438">
        <v>120</v>
      </c>
      <c r="H34" s="439">
        <f>100/G34</f>
        <v>0.83333333333333337</v>
      </c>
      <c r="I34" s="440">
        <f>H34*J34</f>
        <v>0</v>
      </c>
      <c r="J34" s="438">
        <f>(YEAR(F34)-YEAR(S34))*12+MONTH(F34)-MONTH(S34)</f>
        <v>0</v>
      </c>
      <c r="K34" s="440">
        <f>L34*H34</f>
        <v>100</v>
      </c>
      <c r="L34" s="438">
        <f>G34-J34</f>
        <v>120</v>
      </c>
      <c r="M34" s="440">
        <f>N34*H34</f>
        <v>0.83333333333333337</v>
      </c>
      <c r="N34" s="438">
        <v>1</v>
      </c>
      <c r="O34" s="440">
        <f>P34*H34</f>
        <v>99.166666666666671</v>
      </c>
      <c r="P34" s="438">
        <f t="shared" si="6"/>
        <v>119</v>
      </c>
      <c r="Q34" s="438">
        <f>M34-O34</f>
        <v>-98.333333333333343</v>
      </c>
      <c r="R34" s="438">
        <v>291</v>
      </c>
      <c r="S34" s="437">
        <v>42334</v>
      </c>
      <c r="T34" s="443">
        <f>1049*3</f>
        <v>3147</v>
      </c>
      <c r="U34" s="445">
        <v>0</v>
      </c>
      <c r="V34" s="447">
        <v>0</v>
      </c>
      <c r="W34" s="447">
        <v>118.051</v>
      </c>
      <c r="X34" s="445">
        <v>115.958</v>
      </c>
      <c r="Y34" s="447">
        <v>118.051</v>
      </c>
      <c r="Z34" s="445">
        <f>X34/Y34</f>
        <v>0.98227037466857536</v>
      </c>
      <c r="AA34" s="447">
        <f>H34*T34/100</f>
        <v>26.225000000000001</v>
      </c>
      <c r="AB34" s="447">
        <f>AA34*Z34</f>
        <v>25.760040575683391</v>
      </c>
      <c r="AC34" s="447"/>
      <c r="AD34" s="447"/>
      <c r="AE34" s="447"/>
      <c r="AF34" s="447"/>
      <c r="AG34" s="447"/>
      <c r="AH34" s="447"/>
      <c r="AI34" s="447"/>
      <c r="AJ34" s="447"/>
      <c r="AK34" s="448"/>
      <c r="AL34" s="448"/>
      <c r="AM34" s="448"/>
      <c r="AN34" s="448">
        <f>AB34</f>
        <v>25.760040575683391</v>
      </c>
      <c r="AO34" s="448">
        <f>AN34</f>
        <v>25.760040575683391</v>
      </c>
      <c r="AP34" s="448">
        <f>T34-AO34</f>
        <v>3121.2399594243166</v>
      </c>
      <c r="AQ34" s="22"/>
      <c r="AR34" s="22"/>
      <c r="AS34" s="22"/>
    </row>
    <row r="35" spans="1:45" s="22" customFormat="1" x14ac:dyDescent="0.2">
      <c r="A35" s="145" t="s">
        <v>126</v>
      </c>
      <c r="B35" s="145" t="s">
        <v>675</v>
      </c>
      <c r="C35" s="87" t="s">
        <v>660</v>
      </c>
      <c r="D35" s="101">
        <v>10</v>
      </c>
      <c r="E35" s="96">
        <v>0.1</v>
      </c>
      <c r="F35" s="88">
        <v>42185</v>
      </c>
      <c r="G35" s="90">
        <v>120</v>
      </c>
      <c r="H35" s="201">
        <f>100/G35</f>
        <v>0.83333333333333337</v>
      </c>
      <c r="I35" s="233">
        <f>H35*J35</f>
        <v>64.166666666666671</v>
      </c>
      <c r="J35" s="90">
        <f>(YEAR(F35)-YEAR(S35))*12+MONTH(F35)-MONTH(S35)</f>
        <v>77</v>
      </c>
      <c r="K35" s="233">
        <f>L35*H35</f>
        <v>35.833333333333336</v>
      </c>
      <c r="L35" s="90">
        <f>G35-J35</f>
        <v>43</v>
      </c>
      <c r="M35" s="233">
        <f>N35*H35</f>
        <v>5.8333333333333339</v>
      </c>
      <c r="N35" s="90">
        <v>7</v>
      </c>
      <c r="O35" s="233">
        <f>P35*H35</f>
        <v>30</v>
      </c>
      <c r="P35" s="90">
        <f t="shared" si="6"/>
        <v>36</v>
      </c>
      <c r="Q35" s="90"/>
      <c r="R35" s="90" t="s">
        <v>595</v>
      </c>
      <c r="S35" s="88">
        <v>39814</v>
      </c>
      <c r="T35" s="89">
        <v>989</v>
      </c>
      <c r="U35" s="89">
        <v>354.41</v>
      </c>
      <c r="V35" s="252">
        <v>41.2</v>
      </c>
      <c r="W35" s="110"/>
      <c r="X35" s="100">
        <v>115.958</v>
      </c>
      <c r="Y35" s="125">
        <v>134.071</v>
      </c>
      <c r="Z35" s="100">
        <f>X35/Y35</f>
        <v>0.8648999410759971</v>
      </c>
      <c r="AA35" s="98">
        <f>U35*M35/100/K35*100/7</f>
        <v>8.2420930232558138</v>
      </c>
      <c r="AB35" s="98">
        <f>AA35*Z35</f>
        <v>7.1285857701568398</v>
      </c>
      <c r="AC35" s="98"/>
      <c r="AD35" s="98"/>
      <c r="AE35" s="98"/>
      <c r="AF35" s="98"/>
      <c r="AG35" s="98"/>
      <c r="AH35" s="98">
        <v>7.13</v>
      </c>
      <c r="AI35" s="98">
        <v>7.13</v>
      </c>
      <c r="AJ35" s="98">
        <v>7.13</v>
      </c>
      <c r="AK35" s="98">
        <v>7.13</v>
      </c>
      <c r="AL35" s="98">
        <v>7.13</v>
      </c>
      <c r="AM35" s="98">
        <v>7.13</v>
      </c>
      <c r="AN35" s="98">
        <v>7.13</v>
      </c>
      <c r="AO35" s="98">
        <f>SUM(AC35:AN35)</f>
        <v>49.910000000000004</v>
      </c>
      <c r="AP35" s="116">
        <f>U35-AO35</f>
        <v>304.5</v>
      </c>
    </row>
    <row r="36" spans="1:45" s="22" customFormat="1" x14ac:dyDescent="0.2">
      <c r="A36" s="172" t="s">
        <v>690</v>
      </c>
      <c r="B36" s="41"/>
      <c r="C36" s="41"/>
      <c r="D36" s="42"/>
      <c r="E36" s="38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9"/>
      <c r="S36" s="29"/>
      <c r="T36" s="18"/>
      <c r="U36" s="18"/>
      <c r="V36" s="154"/>
      <c r="W36" s="110"/>
      <c r="X36" s="110"/>
      <c r="Y36" s="126"/>
      <c r="Z36" s="110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17"/>
    </row>
    <row r="37" spans="1:45" s="22" customFormat="1" x14ac:dyDescent="0.2">
      <c r="A37" s="172" t="s">
        <v>102</v>
      </c>
      <c r="B37" s="145"/>
      <c r="C37" s="87"/>
      <c r="D37" s="8"/>
      <c r="E37" s="38"/>
      <c r="F37" s="88"/>
      <c r="G37" s="24"/>
      <c r="H37" s="201"/>
      <c r="I37" s="233"/>
      <c r="J37" s="90"/>
      <c r="K37" s="233"/>
      <c r="L37" s="90"/>
      <c r="M37" s="233"/>
      <c r="N37" s="90"/>
      <c r="O37" s="233"/>
      <c r="P37" s="90"/>
      <c r="Q37" s="90"/>
      <c r="R37" s="24"/>
      <c r="S37" s="29"/>
      <c r="T37" s="18"/>
      <c r="U37" s="18"/>
      <c r="V37" s="154"/>
      <c r="W37" s="110"/>
      <c r="X37" s="110"/>
      <c r="Y37" s="125"/>
      <c r="Z37" s="110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116"/>
    </row>
    <row r="38" spans="1:45" s="22" customFormat="1" x14ac:dyDescent="0.2">
      <c r="A38" s="145" t="s">
        <v>127</v>
      </c>
      <c r="B38" s="145" t="s">
        <v>691</v>
      </c>
      <c r="C38" s="87" t="s">
        <v>660</v>
      </c>
      <c r="D38" s="101">
        <v>10</v>
      </c>
      <c r="E38" s="38">
        <v>0.1</v>
      </c>
      <c r="F38" s="88">
        <v>42185</v>
      </c>
      <c r="G38" s="101">
        <v>120</v>
      </c>
      <c r="H38" s="201">
        <f>100/G38</f>
        <v>0.83333333333333337</v>
      </c>
      <c r="I38" s="233">
        <f>H38*J38</f>
        <v>64.166666666666671</v>
      </c>
      <c r="J38" s="90">
        <f>(YEAR(F38)-YEAR(S38))*12+MONTH(F38)-MONTH(S38)</f>
        <v>77</v>
      </c>
      <c r="K38" s="233">
        <f>L38*H38</f>
        <v>35.833333333333336</v>
      </c>
      <c r="L38" s="90">
        <f>G38-J38</f>
        <v>43</v>
      </c>
      <c r="M38" s="233">
        <f>N38*H38</f>
        <v>5.8333333333333339</v>
      </c>
      <c r="N38" s="90">
        <v>7</v>
      </c>
      <c r="O38" s="233">
        <f>P38*H38</f>
        <v>30</v>
      </c>
      <c r="P38" s="90">
        <f t="shared" ref="P38" si="7">L38-N38</f>
        <v>36</v>
      </c>
      <c r="Q38" s="90"/>
      <c r="R38" s="179" t="s">
        <v>595</v>
      </c>
      <c r="S38" s="171">
        <v>39814</v>
      </c>
      <c r="T38" s="188">
        <v>300</v>
      </c>
      <c r="U38" s="18">
        <v>107.5</v>
      </c>
      <c r="V38" s="152">
        <v>12.5</v>
      </c>
      <c r="W38" s="110"/>
      <c r="X38" s="100">
        <v>115.958</v>
      </c>
      <c r="Y38" s="125">
        <v>134.071</v>
      </c>
      <c r="Z38" s="100">
        <f>X38/Y38</f>
        <v>0.8648999410759971</v>
      </c>
      <c r="AA38" s="98">
        <f>U38*M38/100/K38*100/7</f>
        <v>2.5</v>
      </c>
      <c r="AB38" s="98">
        <f>AA38*Z38</f>
        <v>2.1622498526899929</v>
      </c>
      <c r="AC38" s="98"/>
      <c r="AD38" s="98"/>
      <c r="AE38" s="98"/>
      <c r="AF38" s="98"/>
      <c r="AG38" s="98"/>
      <c r="AH38" s="98">
        <v>2.16</v>
      </c>
      <c r="AI38" s="98">
        <v>2.16</v>
      </c>
      <c r="AJ38" s="98">
        <v>2.16</v>
      </c>
      <c r="AK38" s="98">
        <v>2.16</v>
      </c>
      <c r="AL38" s="98">
        <v>2.16</v>
      </c>
      <c r="AM38" s="98">
        <v>2.16</v>
      </c>
      <c r="AN38" s="98">
        <v>2.16</v>
      </c>
      <c r="AO38" s="98">
        <f>SUM(AC38:AN38)</f>
        <v>15.120000000000001</v>
      </c>
      <c r="AP38" s="116">
        <f>U38-AO38</f>
        <v>92.38</v>
      </c>
    </row>
    <row r="39" spans="1:45" s="22" customFormat="1" x14ac:dyDescent="0.2">
      <c r="A39" s="172" t="s">
        <v>690</v>
      </c>
      <c r="B39" s="41"/>
      <c r="C39" s="41"/>
      <c r="D39" s="42"/>
      <c r="E39" s="38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9"/>
      <c r="S39" s="29"/>
      <c r="T39" s="18"/>
      <c r="U39" s="18"/>
      <c r="V39" s="154"/>
      <c r="W39" s="110"/>
      <c r="X39" s="110"/>
      <c r="Y39" s="126"/>
      <c r="Z39" s="110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17"/>
    </row>
    <row r="40" spans="1:45" s="22" customFormat="1" x14ac:dyDescent="0.2">
      <c r="A40" s="172" t="s">
        <v>606</v>
      </c>
      <c r="B40" s="145"/>
      <c r="C40" s="87"/>
      <c r="D40" s="8"/>
      <c r="E40" s="38"/>
      <c r="F40" s="88"/>
      <c r="G40" s="24"/>
      <c r="H40" s="201"/>
      <c r="I40" s="233"/>
      <c r="J40" s="90"/>
      <c r="K40" s="233"/>
      <c r="L40" s="90"/>
      <c r="M40" s="233"/>
      <c r="N40" s="90"/>
      <c r="O40" s="233"/>
      <c r="P40" s="90"/>
      <c r="Q40" s="90"/>
      <c r="R40" s="24"/>
      <c r="S40" s="29"/>
      <c r="T40" s="18"/>
      <c r="U40" s="18"/>
      <c r="V40" s="154"/>
      <c r="W40" s="110"/>
      <c r="X40" s="110"/>
      <c r="Y40" s="125"/>
      <c r="Z40" s="110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116"/>
    </row>
    <row r="41" spans="1:45" s="449" customFormat="1" x14ac:dyDescent="0.2">
      <c r="A41" s="434" t="s">
        <v>128</v>
      </c>
      <c r="B41" s="434" t="s">
        <v>879</v>
      </c>
      <c r="C41" s="450" t="s">
        <v>660</v>
      </c>
      <c r="D41" s="435">
        <v>10</v>
      </c>
      <c r="E41" s="461">
        <v>0.1</v>
      </c>
      <c r="F41" s="437">
        <v>42349</v>
      </c>
      <c r="G41" s="435">
        <v>119</v>
      </c>
      <c r="H41" s="439">
        <f>100/G41</f>
        <v>0.84033613445378152</v>
      </c>
      <c r="I41" s="440">
        <f>H41*J41</f>
        <v>0</v>
      </c>
      <c r="J41" s="438">
        <f>(YEAR(F41)-YEAR(S41))*12+MONTH(F41)-MONTH(S41)</f>
        <v>0</v>
      </c>
      <c r="K41" s="440">
        <f>L41*H41</f>
        <v>100</v>
      </c>
      <c r="L41" s="438">
        <f>G41-J41</f>
        <v>119</v>
      </c>
      <c r="M41" s="440">
        <f>N41*H41</f>
        <v>5.0420168067226889</v>
      </c>
      <c r="N41" s="438">
        <v>6</v>
      </c>
      <c r="O41" s="440">
        <f>P41*H41</f>
        <v>94.957983193277315</v>
      </c>
      <c r="P41" s="438">
        <f t="shared" ref="P41" si="8">L41-N41</f>
        <v>113</v>
      </c>
      <c r="Q41" s="438"/>
      <c r="R41" s="454" t="s">
        <v>880</v>
      </c>
      <c r="S41" s="437">
        <v>42349</v>
      </c>
      <c r="T41" s="442">
        <v>336</v>
      </c>
      <c r="U41" s="442">
        <v>0</v>
      </c>
      <c r="V41" s="444">
        <v>0</v>
      </c>
      <c r="W41" s="456"/>
      <c r="X41" s="445">
        <v>115.958</v>
      </c>
      <c r="Y41" s="446">
        <v>118.532</v>
      </c>
      <c r="Z41" s="445">
        <f>X41/Y41</f>
        <v>0.97828434515573859</v>
      </c>
      <c r="AA41" s="447">
        <f>H41*T41/100</f>
        <v>2.8235294117647061</v>
      </c>
      <c r="AB41" s="447">
        <f>AA41*Z41</f>
        <v>2.7622146216162031</v>
      </c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8">
        <f>T41</f>
        <v>336</v>
      </c>
      <c r="AQ41" s="22"/>
      <c r="AR41" s="22"/>
      <c r="AS41" s="22"/>
    </row>
    <row r="42" spans="1:45" s="22" customFormat="1" x14ac:dyDescent="0.2">
      <c r="A42" s="145" t="s">
        <v>128</v>
      </c>
      <c r="B42" s="145" t="s">
        <v>692</v>
      </c>
      <c r="C42" s="87" t="s">
        <v>660</v>
      </c>
      <c r="D42" s="101">
        <v>10</v>
      </c>
      <c r="E42" s="38">
        <v>0.1</v>
      </c>
      <c r="F42" s="88">
        <v>42185</v>
      </c>
      <c r="G42" s="101">
        <v>120</v>
      </c>
      <c r="H42" s="201">
        <f>100/G42</f>
        <v>0.83333333333333337</v>
      </c>
      <c r="I42" s="233">
        <f>H42*J42</f>
        <v>84.166666666666671</v>
      </c>
      <c r="J42" s="90">
        <f>(YEAR(F42)-YEAR(S42))*12+MONTH(F42)-MONTH(S42)</f>
        <v>101</v>
      </c>
      <c r="K42" s="233">
        <f>L42*H42</f>
        <v>15.833333333333334</v>
      </c>
      <c r="L42" s="90">
        <f>G42-J42</f>
        <v>19</v>
      </c>
      <c r="M42" s="233">
        <f>N42*H42</f>
        <v>5.8333333333333339</v>
      </c>
      <c r="N42" s="90">
        <v>7</v>
      </c>
      <c r="O42" s="233">
        <f>P42*H42</f>
        <v>10</v>
      </c>
      <c r="P42" s="90">
        <f t="shared" ref="P42" si="9">L42-N42</f>
        <v>12</v>
      </c>
      <c r="Q42" s="90"/>
      <c r="R42" s="179" t="s">
        <v>595</v>
      </c>
      <c r="S42" s="171">
        <v>39083</v>
      </c>
      <c r="T42" s="188">
        <v>570</v>
      </c>
      <c r="U42" s="18">
        <v>90.25</v>
      </c>
      <c r="V42" s="152">
        <v>23.75</v>
      </c>
      <c r="W42" s="110"/>
      <c r="X42" s="100">
        <v>115.958</v>
      </c>
      <c r="Y42" s="125">
        <v>121.64</v>
      </c>
      <c r="Z42" s="100">
        <f>X42/Y42</f>
        <v>0.95328839197632353</v>
      </c>
      <c r="AA42" s="98">
        <f>U42*M42/100/K42*100/7</f>
        <v>4.75</v>
      </c>
      <c r="AB42" s="98">
        <f>AA42*Z42</f>
        <v>4.5281198618875367</v>
      </c>
      <c r="AC42" s="98"/>
      <c r="AD42" s="98"/>
      <c r="AE42" s="98"/>
      <c r="AF42" s="98"/>
      <c r="AG42" s="98"/>
      <c r="AH42" s="98">
        <v>4.53</v>
      </c>
      <c r="AI42" s="98">
        <v>4.53</v>
      </c>
      <c r="AJ42" s="98">
        <v>4.53</v>
      </c>
      <c r="AK42" s="98">
        <v>4.53</v>
      </c>
      <c r="AL42" s="98">
        <v>4.53</v>
      </c>
      <c r="AM42" s="98">
        <v>4.53</v>
      </c>
      <c r="AN42" s="98">
        <v>4.53</v>
      </c>
      <c r="AO42" s="98">
        <f>SUM(AC42:AN42)</f>
        <v>31.710000000000004</v>
      </c>
      <c r="AP42" s="116">
        <f>U42-AO42</f>
        <v>58.539999999999992</v>
      </c>
    </row>
    <row r="43" spans="1:45" s="22" customFormat="1" x14ac:dyDescent="0.2">
      <c r="A43" s="172" t="s">
        <v>693</v>
      </c>
      <c r="B43" s="41"/>
      <c r="C43" s="41"/>
      <c r="D43" s="42"/>
      <c r="E43" s="38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9"/>
      <c r="S43" s="29"/>
      <c r="T43" s="18"/>
      <c r="U43" s="18"/>
      <c r="V43" s="154"/>
      <c r="W43" s="110"/>
      <c r="X43" s="110"/>
      <c r="Y43" s="126"/>
      <c r="Z43" s="110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17"/>
    </row>
    <row r="44" spans="1:45" s="22" customFormat="1" x14ac:dyDescent="0.2">
      <c r="A44" s="172" t="s">
        <v>694</v>
      </c>
      <c r="B44" s="145"/>
      <c r="C44" s="87"/>
      <c r="D44" s="8"/>
      <c r="E44" s="38"/>
      <c r="F44" s="88"/>
      <c r="G44" s="24"/>
      <c r="H44" s="201"/>
      <c r="I44" s="233"/>
      <c r="J44" s="90"/>
      <c r="K44" s="233"/>
      <c r="L44" s="90"/>
      <c r="M44" s="233"/>
      <c r="N44" s="90"/>
      <c r="O44" s="233"/>
      <c r="P44" s="90"/>
      <c r="Q44" s="90"/>
      <c r="R44" s="24"/>
      <c r="S44" s="29"/>
      <c r="T44" s="18"/>
      <c r="U44" s="18"/>
      <c r="V44" s="154"/>
      <c r="W44" s="110"/>
      <c r="X44" s="110"/>
      <c r="Y44" s="125"/>
      <c r="Z44" s="110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116"/>
    </row>
    <row r="45" spans="1:45" s="22" customFormat="1" x14ac:dyDescent="0.2">
      <c r="A45" s="145" t="s">
        <v>132</v>
      </c>
      <c r="B45" s="145" t="s">
        <v>695</v>
      </c>
      <c r="C45" s="87" t="s">
        <v>660</v>
      </c>
      <c r="D45" s="101">
        <v>3</v>
      </c>
      <c r="E45" s="91">
        <v>0.33329999999999999</v>
      </c>
      <c r="F45" s="88">
        <v>42185</v>
      </c>
      <c r="G45" s="101">
        <v>36</v>
      </c>
      <c r="H45" s="201">
        <f>100/G45</f>
        <v>2.7777777777777777</v>
      </c>
      <c r="I45" s="233">
        <f>H45*J45</f>
        <v>47.222222222222221</v>
      </c>
      <c r="J45" s="90">
        <f>(YEAR(F45)-YEAR(S45))*12+MONTH(F45)-MONTH(S45)</f>
        <v>17</v>
      </c>
      <c r="K45" s="233">
        <f>L45*H45</f>
        <v>52.777777777777779</v>
      </c>
      <c r="L45" s="90">
        <f>G45-J45</f>
        <v>19</v>
      </c>
      <c r="M45" s="233">
        <f>N45*H45</f>
        <v>19.444444444444443</v>
      </c>
      <c r="N45" s="90">
        <v>7</v>
      </c>
      <c r="O45" s="233">
        <f>P45*H45</f>
        <v>33.333333333333329</v>
      </c>
      <c r="P45" s="90">
        <f t="shared" ref="P45" si="10">L45-N45</f>
        <v>12</v>
      </c>
      <c r="Q45" s="90"/>
      <c r="R45" s="179" t="s">
        <v>696</v>
      </c>
      <c r="S45" s="171">
        <v>41644</v>
      </c>
      <c r="T45" s="188">
        <v>1197</v>
      </c>
      <c r="U45" s="18">
        <v>631.77</v>
      </c>
      <c r="V45" s="152">
        <v>166.25</v>
      </c>
      <c r="W45" s="110"/>
      <c r="X45" s="100">
        <v>115.958</v>
      </c>
      <c r="Y45" s="125">
        <v>112.505</v>
      </c>
      <c r="Z45" s="100">
        <f>X45/Y45</f>
        <v>1.0306919692458114</v>
      </c>
      <c r="AA45" s="98">
        <f>U45*M45/100/K45*100/7</f>
        <v>33.251052631578943</v>
      </c>
      <c r="AB45" s="98">
        <f>AA45*Z45</f>
        <v>34.271592916338221</v>
      </c>
      <c r="AC45" s="98"/>
      <c r="AD45" s="98"/>
      <c r="AE45" s="98"/>
      <c r="AF45" s="98"/>
      <c r="AG45" s="98"/>
      <c r="AH45" s="98">
        <v>34.270000000000003</v>
      </c>
      <c r="AI45" s="98">
        <v>34.270000000000003</v>
      </c>
      <c r="AJ45" s="98">
        <v>34.270000000000003</v>
      </c>
      <c r="AK45" s="98">
        <v>34.270000000000003</v>
      </c>
      <c r="AL45" s="98">
        <v>34.270000000000003</v>
      </c>
      <c r="AM45" s="98">
        <v>34.270000000000003</v>
      </c>
      <c r="AN45" s="98">
        <v>34.270000000000003</v>
      </c>
      <c r="AO45" s="98">
        <f>SUM(AC45:AN45)</f>
        <v>239.89000000000004</v>
      </c>
      <c r="AP45" s="116">
        <f>U45-AO45</f>
        <v>391.87999999999994</v>
      </c>
    </row>
    <row r="46" spans="1:45" s="22" customFormat="1" x14ac:dyDescent="0.2">
      <c r="A46" s="172" t="s">
        <v>855</v>
      </c>
      <c r="B46" s="41"/>
      <c r="C46" s="41"/>
      <c r="D46" s="42"/>
      <c r="E46" s="38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9"/>
      <c r="S46" s="29"/>
      <c r="T46" s="18"/>
      <c r="U46" s="18"/>
      <c r="V46" s="154"/>
      <c r="W46" s="110"/>
      <c r="X46" s="110"/>
      <c r="Y46" s="126"/>
      <c r="Z46" s="110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17"/>
    </row>
    <row r="47" spans="1:45" s="22" customFormat="1" x14ac:dyDescent="0.2">
      <c r="A47" s="172" t="s">
        <v>856</v>
      </c>
      <c r="B47" s="145"/>
      <c r="C47" s="87"/>
      <c r="D47" s="8"/>
      <c r="E47" s="38"/>
      <c r="F47" s="88"/>
      <c r="G47" s="24"/>
      <c r="H47" s="201"/>
      <c r="I47" s="233"/>
      <c r="J47" s="90"/>
      <c r="K47" s="233"/>
      <c r="L47" s="90"/>
      <c r="M47" s="233"/>
      <c r="N47" s="90"/>
      <c r="O47" s="233"/>
      <c r="P47" s="90"/>
      <c r="Q47" s="90"/>
      <c r="R47" s="24"/>
      <c r="S47" s="29"/>
      <c r="T47" s="18"/>
      <c r="U47" s="18"/>
      <c r="V47" s="154"/>
      <c r="W47" s="110"/>
      <c r="X47" s="110"/>
      <c r="Y47" s="125"/>
      <c r="Z47" s="110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116"/>
    </row>
    <row r="48" spans="1:45" s="449" customFormat="1" x14ac:dyDescent="0.2">
      <c r="A48" s="434" t="s">
        <v>853</v>
      </c>
      <c r="B48" s="434" t="s">
        <v>854</v>
      </c>
      <c r="C48" s="450" t="s">
        <v>660</v>
      </c>
      <c r="D48" s="435">
        <v>10</v>
      </c>
      <c r="E48" s="453">
        <v>0.1</v>
      </c>
      <c r="F48" s="441">
        <v>42334</v>
      </c>
      <c r="G48" s="435">
        <v>120</v>
      </c>
      <c r="H48" s="439">
        <f>100/G48</f>
        <v>0.83333333333333337</v>
      </c>
      <c r="I48" s="440">
        <f>H48*J48</f>
        <v>0</v>
      </c>
      <c r="J48" s="438">
        <f>(YEAR(F48)-YEAR(S48))*12+MONTH(F48)-MONTH(S48)</f>
        <v>0</v>
      </c>
      <c r="K48" s="440">
        <f>L48*H48</f>
        <v>100</v>
      </c>
      <c r="L48" s="438">
        <f>G48-J48</f>
        <v>120</v>
      </c>
      <c r="M48" s="440">
        <f>N48*H48</f>
        <v>0.83333333333333337</v>
      </c>
      <c r="N48" s="438">
        <v>1</v>
      </c>
      <c r="O48" s="440">
        <f>P48*H48</f>
        <v>99.166666666666671</v>
      </c>
      <c r="P48" s="438">
        <f t="shared" ref="P48" si="11">L48-N48</f>
        <v>119</v>
      </c>
      <c r="Q48" s="438"/>
      <c r="R48" s="454" t="s">
        <v>595</v>
      </c>
      <c r="S48" s="441">
        <v>42334</v>
      </c>
      <c r="T48" s="442">
        <v>4199.3</v>
      </c>
      <c r="U48" s="455">
        <v>0</v>
      </c>
      <c r="V48" s="444">
        <v>23.75</v>
      </c>
      <c r="W48" s="456"/>
      <c r="X48" s="445">
        <v>115.958</v>
      </c>
      <c r="Y48" s="446">
        <v>121.64</v>
      </c>
      <c r="Z48" s="445">
        <f>X48/Y48</f>
        <v>0.95328839197632353</v>
      </c>
      <c r="AA48" s="447">
        <f>H48*T48/100</f>
        <v>34.994166666666672</v>
      </c>
      <c r="AB48" s="447">
        <f>AA48*Z48</f>
        <v>33.359532870218132</v>
      </c>
      <c r="AC48" s="447"/>
      <c r="AD48" s="447"/>
      <c r="AE48" s="447"/>
      <c r="AF48" s="447"/>
      <c r="AG48" s="447"/>
      <c r="AH48" s="447"/>
      <c r="AI48" s="447"/>
      <c r="AJ48" s="447"/>
      <c r="AK48" s="447"/>
      <c r="AL48" s="447"/>
      <c r="AM48" s="447"/>
      <c r="AN48" s="447">
        <f>33.36</f>
        <v>33.36</v>
      </c>
      <c r="AO48" s="447">
        <f>SUM(AC48:AN48)</f>
        <v>33.36</v>
      </c>
      <c r="AP48" s="448">
        <f>T48-AO48</f>
        <v>4165.9400000000005</v>
      </c>
      <c r="AQ48" s="22"/>
      <c r="AR48" s="22"/>
      <c r="AS48" s="22"/>
    </row>
    <row r="49" spans="1:45" x14ac:dyDescent="0.2">
      <c r="B49" t="s">
        <v>1061</v>
      </c>
      <c r="R49" s="243"/>
      <c r="V49" s="263"/>
      <c r="AB49" s="263"/>
      <c r="AH49" s="263">
        <f>SUM(AH15:AH45)</f>
        <v>134.34</v>
      </c>
      <c r="AI49" s="263"/>
      <c r="AJ49" s="263"/>
      <c r="AK49" s="263"/>
      <c r="AL49" s="263"/>
      <c r="AM49" s="263"/>
      <c r="AN49" s="263">
        <f t="shared" ref="AN49:AO49" si="12">SUM(AN15:AN48)</f>
        <v>189.10004057568335</v>
      </c>
      <c r="AO49" s="263">
        <f t="shared" si="12"/>
        <v>995.14004057568343</v>
      </c>
      <c r="AP49" s="263">
        <f>SUM(AP15:AP48)</f>
        <v>11568.609959424317</v>
      </c>
    </row>
    <row r="50" spans="1:45" s="150" customFormat="1" x14ac:dyDescent="0.2">
      <c r="A50" s="156" t="s">
        <v>460</v>
      </c>
      <c r="B50" s="132"/>
      <c r="C50" s="132"/>
      <c r="D50" s="133"/>
      <c r="E50" s="133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4"/>
      <c r="S50" s="134"/>
      <c r="T50" s="135"/>
      <c r="U50" s="135"/>
      <c r="W50"/>
      <c r="X50"/>
      <c r="Y50" s="121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 s="113"/>
      <c r="AQ50" s="149"/>
      <c r="AR50" s="149"/>
      <c r="AS50" s="149"/>
    </row>
    <row r="51" spans="1:45" s="150" customFormat="1" x14ac:dyDescent="0.2">
      <c r="A51" s="14"/>
      <c r="B51"/>
      <c r="C51"/>
      <c r="D51" s="27"/>
      <c r="E51" s="27"/>
      <c r="F51"/>
      <c r="G51"/>
      <c r="H51"/>
      <c r="I51"/>
      <c r="J51"/>
      <c r="K51"/>
      <c r="L51"/>
      <c r="M51"/>
      <c r="N51"/>
      <c r="O51"/>
      <c r="P51"/>
      <c r="Q51"/>
      <c r="R51" s="28"/>
      <c r="S51" s="28"/>
      <c r="T51" s="16"/>
      <c r="U51" s="16"/>
      <c r="W51"/>
      <c r="X51"/>
      <c r="Y51" s="12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 s="113"/>
      <c r="AQ51" s="149"/>
      <c r="AR51" s="149"/>
      <c r="AS51" s="149"/>
    </row>
    <row r="52" spans="1:45" ht="30.75" hidden="1" customHeight="1" x14ac:dyDescent="0.2">
      <c r="A52" s="568" t="s">
        <v>613</v>
      </c>
      <c r="B52" s="568"/>
      <c r="C52" s="568"/>
      <c r="D52" s="568"/>
      <c r="E52" s="568"/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8"/>
      <c r="U52" s="568"/>
      <c r="V52" s="568"/>
      <c r="W52" s="568"/>
      <c r="X52" s="568"/>
      <c r="Y52" s="239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</row>
    <row r="53" spans="1:45" hidden="1" x14ac:dyDescent="0.2">
      <c r="A53" s="568"/>
      <c r="B53" s="568"/>
      <c r="C53" s="568"/>
      <c r="D53" s="568"/>
      <c r="E53" s="568"/>
      <c r="F53" s="568"/>
      <c r="G53" s="568"/>
      <c r="H53" s="568"/>
      <c r="I53" s="568"/>
      <c r="J53" s="568"/>
      <c r="K53" s="568"/>
      <c r="L53" s="568"/>
      <c r="M53" s="568"/>
      <c r="N53" s="568"/>
      <c r="O53" s="568"/>
      <c r="P53" s="568"/>
      <c r="Q53" s="568"/>
      <c r="R53" s="568"/>
      <c r="S53" s="568"/>
      <c r="T53" s="568"/>
      <c r="U53" s="568"/>
      <c r="V53" s="568"/>
      <c r="W53" s="568"/>
      <c r="X53" s="568"/>
    </row>
    <row r="54" spans="1:45" x14ac:dyDescent="0.2">
      <c r="AA54" s="16"/>
      <c r="AN54" s="376">
        <f>SUM(AN49-AN48-AN41-AN34)</f>
        <v>129.97999999999996</v>
      </c>
      <c r="AO54" s="150"/>
    </row>
    <row r="55" spans="1:45" ht="12.75" customHeight="1" x14ac:dyDescent="0.2">
      <c r="V55" s="567" t="s">
        <v>1062</v>
      </c>
      <c r="W55" s="572"/>
      <c r="X55" s="572"/>
      <c r="Y55" s="572"/>
      <c r="Z55" s="572"/>
      <c r="AB55" s="17"/>
      <c r="AN55" s="17">
        <f>SUM(AO48+AO41+AO34)+AN54</f>
        <v>189.10004057568335</v>
      </c>
    </row>
    <row r="56" spans="1:45" x14ac:dyDescent="0.2">
      <c r="V56" s="572"/>
      <c r="W56" s="572"/>
      <c r="X56" s="572"/>
      <c r="Y56" s="572"/>
      <c r="Z56" s="572"/>
    </row>
    <row r="57" spans="1:45" x14ac:dyDescent="0.2">
      <c r="V57" s="572"/>
      <c r="W57" s="572"/>
      <c r="X57" s="572"/>
      <c r="Y57" s="572"/>
      <c r="Z57" s="572"/>
    </row>
    <row r="58" spans="1:45" x14ac:dyDescent="0.2">
      <c r="V58" s="572"/>
      <c r="W58" s="572"/>
      <c r="X58" s="572"/>
      <c r="Y58" s="572"/>
      <c r="Z58" s="572"/>
    </row>
  </sheetData>
  <mergeCells count="26">
    <mergeCell ref="V55:Z58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52:X5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T48"/>
  <sheetViews>
    <sheetView topLeftCell="N11" zoomScale="110" zoomScaleNormal="110" workbookViewId="0">
      <selection activeCell="AB48" sqref="AB48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9" width="7.7109375" hidden="1" customWidth="1"/>
    <col min="40" max="40" width="7.7109375" customWidth="1"/>
    <col min="41" max="41" width="9.28515625" customWidth="1"/>
    <col min="42" max="42" width="10" style="113" customWidth="1"/>
    <col min="43" max="46" width="11.42578125" style="22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461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5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5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54" t="s">
        <v>680</v>
      </c>
      <c r="O11" s="556" t="s">
        <v>643</v>
      </c>
      <c r="P11" s="260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461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3"/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41" t="s">
        <v>68</v>
      </c>
      <c r="B13" s="41" t="s">
        <v>94</v>
      </c>
      <c r="C13" s="47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41" t="s">
        <v>86</v>
      </c>
      <c r="B14" s="13"/>
      <c r="C14" s="4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13" t="s">
        <v>117</v>
      </c>
      <c r="B15" s="13" t="s">
        <v>32</v>
      </c>
      <c r="C15" s="87" t="s">
        <v>461</v>
      </c>
      <c r="D15" s="101">
        <v>10</v>
      </c>
      <c r="E15" s="38">
        <v>0.1</v>
      </c>
      <c r="F15" s="88">
        <v>42185</v>
      </c>
      <c r="G15" s="101">
        <v>120</v>
      </c>
      <c r="H15" s="201">
        <f>100/G15</f>
        <v>0.83333333333333337</v>
      </c>
      <c r="I15" s="233">
        <f>H15*J15</f>
        <v>26.666666666666668</v>
      </c>
      <c r="J15" s="90">
        <f>(YEAR(F15)-YEAR(S15))*12+MONTH(F15)-MONTH(S15)</f>
        <v>32</v>
      </c>
      <c r="K15" s="233">
        <f>L15*H15</f>
        <v>73.333333333333343</v>
      </c>
      <c r="L15" s="90">
        <f>G15-J15</f>
        <v>88</v>
      </c>
      <c r="M15" s="233">
        <f>N15*H15</f>
        <v>5.8333333333333339</v>
      </c>
      <c r="N15" s="90">
        <v>7</v>
      </c>
      <c r="O15" s="233">
        <f>P15*H15</f>
        <v>67.5</v>
      </c>
      <c r="P15" s="90">
        <f t="shared" ref="P15:P26" si="0">L15-N15</f>
        <v>81</v>
      </c>
      <c r="Q15" s="88">
        <v>42428</v>
      </c>
      <c r="R15" s="88" t="s">
        <v>658</v>
      </c>
      <c r="S15" s="88">
        <v>41199</v>
      </c>
      <c r="T15" s="89">
        <v>9860</v>
      </c>
      <c r="U15" s="89">
        <v>7312.8</v>
      </c>
      <c r="V15" s="152">
        <v>410.85</v>
      </c>
      <c r="W15" s="233">
        <v>0</v>
      </c>
      <c r="X15" s="100">
        <v>115.958</v>
      </c>
      <c r="Y15" s="125">
        <v>106.27800000000001</v>
      </c>
      <c r="Z15" s="100">
        <f>X15/Y15</f>
        <v>1.091081879598788</v>
      </c>
      <c r="AA15" s="98">
        <f>U15*M15/100/K15*100/7</f>
        <v>83.100000000000009</v>
      </c>
      <c r="AB15" s="98">
        <f>AA15*Z15</f>
        <v>90.668904194659291</v>
      </c>
      <c r="AC15" s="98"/>
      <c r="AD15" s="98"/>
      <c r="AE15" s="98"/>
      <c r="AF15" s="98"/>
      <c r="AG15" s="98"/>
      <c r="AH15" s="98">
        <v>90.67</v>
      </c>
      <c r="AI15" s="98">
        <v>90.67</v>
      </c>
      <c r="AJ15" s="98">
        <v>90.67</v>
      </c>
      <c r="AK15" s="98">
        <v>90.67</v>
      </c>
      <c r="AL15" s="98">
        <v>90.67</v>
      </c>
      <c r="AM15" s="98">
        <v>90.67</v>
      </c>
      <c r="AN15" s="98">
        <v>90.67</v>
      </c>
      <c r="AO15" s="98">
        <f>SUM(AC15:AN15)</f>
        <v>634.68999999999994</v>
      </c>
      <c r="AP15" s="116">
        <f>U15-AO15</f>
        <v>6678.1100000000006</v>
      </c>
      <c r="AQ15" s="168"/>
    </row>
    <row r="16" spans="1:43" s="22" customFormat="1" x14ac:dyDescent="0.2">
      <c r="A16" s="13" t="s">
        <v>117</v>
      </c>
      <c r="B16" s="13" t="s">
        <v>33</v>
      </c>
      <c r="C16" s="87" t="s">
        <v>461</v>
      </c>
      <c r="D16" s="12">
        <v>10</v>
      </c>
      <c r="E16" s="38">
        <v>0.1</v>
      </c>
      <c r="F16" s="88">
        <v>42185</v>
      </c>
      <c r="G16" s="101">
        <v>120</v>
      </c>
      <c r="H16" s="201">
        <f t="shared" ref="H16:H18" si="1">100/G16</f>
        <v>0.83333333333333337</v>
      </c>
      <c r="I16" s="233">
        <f>H16*J16</f>
        <v>54.166666666666671</v>
      </c>
      <c r="J16" s="90">
        <f>(YEAR(F16)-YEAR(S16))*12+MONTH(F16)-MONTH(S16)</f>
        <v>65</v>
      </c>
      <c r="K16" s="233">
        <f t="shared" ref="K16:K18" si="2">L16*H16</f>
        <v>45.833333333333336</v>
      </c>
      <c r="L16" s="90">
        <f t="shared" ref="L16:L18" si="3">G16-J16</f>
        <v>55</v>
      </c>
      <c r="M16" s="233">
        <f t="shared" ref="M16:M18" si="4">N16*H16</f>
        <v>5.8333333333333339</v>
      </c>
      <c r="N16" s="90">
        <v>7</v>
      </c>
      <c r="O16" s="233">
        <f t="shared" ref="O16:O18" si="5">P16*H16</f>
        <v>40</v>
      </c>
      <c r="P16" s="90">
        <f t="shared" si="0"/>
        <v>48</v>
      </c>
      <c r="Q16" s="90"/>
      <c r="R16" s="171" t="s">
        <v>659</v>
      </c>
      <c r="S16" s="88">
        <v>40179</v>
      </c>
      <c r="T16" s="89">
        <v>2599</v>
      </c>
      <c r="U16" s="18">
        <v>1191.19</v>
      </c>
      <c r="V16" s="152">
        <v>108.3</v>
      </c>
      <c r="W16" s="110"/>
      <c r="X16" s="100">
        <v>115.958</v>
      </c>
      <c r="Y16" s="125">
        <v>140.047</v>
      </c>
      <c r="Z16" s="100">
        <f>X16/Y16</f>
        <v>0.82799345933865065</v>
      </c>
      <c r="AA16" s="98">
        <f t="shared" ref="AA16:AA18" si="6">U16*M16/100/K16*100/7</f>
        <v>21.657999999999998</v>
      </c>
      <c r="AB16" s="98">
        <f>AA16*Z16</f>
        <v>17.932682342356493</v>
      </c>
      <c r="AC16" s="98"/>
      <c r="AD16" s="98"/>
      <c r="AE16" s="98"/>
      <c r="AF16" s="98"/>
      <c r="AG16" s="98"/>
      <c r="AH16" s="98">
        <v>17.93</v>
      </c>
      <c r="AI16" s="98">
        <v>17.93</v>
      </c>
      <c r="AJ16" s="98">
        <v>17.93</v>
      </c>
      <c r="AK16" s="98">
        <v>17.93</v>
      </c>
      <c r="AL16" s="98">
        <v>17.93</v>
      </c>
      <c r="AM16" s="98">
        <v>17.93</v>
      </c>
      <c r="AN16" s="98">
        <v>17.93</v>
      </c>
      <c r="AO16" s="98">
        <f t="shared" ref="AO16:AO17" si="7">SUM(AC16:AN16)</f>
        <v>125.51000000000002</v>
      </c>
      <c r="AP16" s="116">
        <f>U16-AO16</f>
        <v>1065.68</v>
      </c>
    </row>
    <row r="17" spans="1:46" s="22" customFormat="1" x14ac:dyDescent="0.2">
      <c r="A17" s="13" t="s">
        <v>117</v>
      </c>
      <c r="B17" s="13" t="s">
        <v>33</v>
      </c>
      <c r="C17" s="87" t="s">
        <v>461</v>
      </c>
      <c r="D17" s="8">
        <v>10</v>
      </c>
      <c r="E17" s="38">
        <v>0.1</v>
      </c>
      <c r="F17" s="88">
        <v>42185</v>
      </c>
      <c r="G17" s="101">
        <v>120</v>
      </c>
      <c r="H17" s="201">
        <f t="shared" si="1"/>
        <v>0.83333333333333337</v>
      </c>
      <c r="I17" s="233">
        <f>H17*J17</f>
        <v>64.166666666666671</v>
      </c>
      <c r="J17" s="90">
        <f>(YEAR(F17)-YEAR(S17))*12+MONTH(F17)-MONTH(S17)</f>
        <v>77</v>
      </c>
      <c r="K17" s="233">
        <f t="shared" si="2"/>
        <v>35.833333333333336</v>
      </c>
      <c r="L17" s="90">
        <f t="shared" si="3"/>
        <v>43</v>
      </c>
      <c r="M17" s="233">
        <f t="shared" si="4"/>
        <v>5.8333333333333339</v>
      </c>
      <c r="N17" s="90">
        <v>7</v>
      </c>
      <c r="O17" s="233">
        <f t="shared" si="5"/>
        <v>30</v>
      </c>
      <c r="P17" s="90">
        <f t="shared" si="0"/>
        <v>36</v>
      </c>
      <c r="Q17" s="90"/>
      <c r="R17" s="171" t="s">
        <v>659</v>
      </c>
      <c r="S17" s="171">
        <v>39814</v>
      </c>
      <c r="T17" s="188">
        <v>799</v>
      </c>
      <c r="U17" s="18">
        <v>286.29000000000002</v>
      </c>
      <c r="V17" s="152">
        <v>33.299999999999997</v>
      </c>
      <c r="W17" s="110"/>
      <c r="X17" s="100">
        <v>115.958</v>
      </c>
      <c r="Y17" s="125">
        <v>134.071</v>
      </c>
      <c r="Z17" s="100">
        <f>X17/Y17</f>
        <v>0.8648999410759971</v>
      </c>
      <c r="AA17" s="98">
        <f t="shared" si="6"/>
        <v>6.6579069767441874</v>
      </c>
      <c r="AB17" s="98">
        <f>AA17*Z17</f>
        <v>5.7584233518755177</v>
      </c>
      <c r="AC17" s="98"/>
      <c r="AD17" s="98"/>
      <c r="AE17" s="98"/>
      <c r="AF17" s="98"/>
      <c r="AG17" s="98"/>
      <c r="AH17" s="98">
        <v>5.76</v>
      </c>
      <c r="AI17" s="98">
        <v>5.76</v>
      </c>
      <c r="AJ17" s="98">
        <v>5.76</v>
      </c>
      <c r="AK17" s="98">
        <v>5.76</v>
      </c>
      <c r="AL17" s="98">
        <v>5.76</v>
      </c>
      <c r="AM17" s="98">
        <v>5.76</v>
      </c>
      <c r="AN17" s="98">
        <v>5.76</v>
      </c>
      <c r="AO17" s="98">
        <f t="shared" si="7"/>
        <v>40.319999999999993</v>
      </c>
      <c r="AP17" s="116">
        <f>U17-AO17</f>
        <v>245.97000000000003</v>
      </c>
    </row>
    <row r="18" spans="1:46" s="22" customFormat="1" x14ac:dyDescent="0.2">
      <c r="A18" s="13" t="s">
        <v>117</v>
      </c>
      <c r="B18" s="13" t="s">
        <v>34</v>
      </c>
      <c r="C18" s="87" t="s">
        <v>461</v>
      </c>
      <c r="D18" s="101">
        <v>10</v>
      </c>
      <c r="E18" s="38">
        <v>0.1</v>
      </c>
      <c r="F18" s="88">
        <v>42185</v>
      </c>
      <c r="G18" s="101">
        <v>120</v>
      </c>
      <c r="H18" s="201">
        <f t="shared" si="1"/>
        <v>0.83333333333333337</v>
      </c>
      <c r="I18" s="233">
        <f>H18*J18</f>
        <v>84.166666666666671</v>
      </c>
      <c r="J18" s="90">
        <f>(YEAR(F18)-YEAR(S18))*12+MONTH(F18)-MONTH(S18)</f>
        <v>101</v>
      </c>
      <c r="K18" s="233">
        <f t="shared" si="2"/>
        <v>15.833333333333334</v>
      </c>
      <c r="L18" s="90">
        <f t="shared" si="3"/>
        <v>19</v>
      </c>
      <c r="M18" s="233">
        <f t="shared" si="4"/>
        <v>5.8333333333333339</v>
      </c>
      <c r="N18" s="90">
        <v>7</v>
      </c>
      <c r="O18" s="233">
        <f t="shared" si="5"/>
        <v>10</v>
      </c>
      <c r="P18" s="90">
        <f t="shared" si="0"/>
        <v>12</v>
      </c>
      <c r="Q18" s="90"/>
      <c r="R18" s="88" t="s">
        <v>659</v>
      </c>
      <c r="S18" s="171">
        <v>39083</v>
      </c>
      <c r="T18" s="188">
        <v>430</v>
      </c>
      <c r="U18" s="18">
        <v>68.12</v>
      </c>
      <c r="V18" s="152">
        <v>17.899999999999999</v>
      </c>
      <c r="W18" s="233">
        <v>0</v>
      </c>
      <c r="X18" s="100">
        <v>115.958</v>
      </c>
      <c r="Y18" s="125">
        <v>121.64</v>
      </c>
      <c r="Z18" s="100">
        <f>X18/Y18</f>
        <v>0.95328839197632353</v>
      </c>
      <c r="AA18" s="98">
        <f t="shared" si="6"/>
        <v>3.5852631578947372</v>
      </c>
      <c r="AB18" s="98">
        <f>AA18*Z18</f>
        <v>3.4177897506014299</v>
      </c>
      <c r="AC18" s="98"/>
      <c r="AD18" s="98"/>
      <c r="AE18" s="98"/>
      <c r="AF18" s="98"/>
      <c r="AG18" s="98"/>
      <c r="AH18" s="98">
        <v>3.42</v>
      </c>
      <c r="AI18" s="98">
        <v>3.42</v>
      </c>
      <c r="AJ18" s="98">
        <v>3.42</v>
      </c>
      <c r="AK18" s="98">
        <v>3.42</v>
      </c>
      <c r="AL18" s="98">
        <v>3.42</v>
      </c>
      <c r="AM18" s="98">
        <v>3.42</v>
      </c>
      <c r="AN18" s="98">
        <v>3.42</v>
      </c>
      <c r="AO18" s="98">
        <f>SUM(AC18:AN18)</f>
        <v>23.940000000000005</v>
      </c>
      <c r="AP18" s="116">
        <f>U18-AO18</f>
        <v>44.18</v>
      </c>
    </row>
    <row r="19" spans="1:46" s="22" customFormat="1" x14ac:dyDescent="0.2">
      <c r="A19" s="41" t="s">
        <v>74</v>
      </c>
      <c r="B19" s="41" t="s">
        <v>28</v>
      </c>
      <c r="C19" s="87"/>
      <c r="D19" s="101"/>
      <c r="E19" s="96"/>
      <c r="F19" s="88"/>
      <c r="G19" s="101"/>
      <c r="H19" s="201"/>
      <c r="I19" s="233"/>
      <c r="J19" s="90"/>
      <c r="K19" s="233"/>
      <c r="L19" s="90"/>
      <c r="M19" s="233"/>
      <c r="N19" s="90"/>
      <c r="O19" s="233"/>
      <c r="P19" s="90"/>
      <c r="Q19" s="90"/>
      <c r="R19" s="88"/>
      <c r="S19" s="171"/>
      <c r="T19" s="188"/>
      <c r="U19" s="89"/>
      <c r="V19" s="152"/>
      <c r="W19" s="233"/>
      <c r="X19" s="100"/>
      <c r="Y19" s="125"/>
      <c r="Z19" s="100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116"/>
    </row>
    <row r="20" spans="1:46" s="22" customFormat="1" x14ac:dyDescent="0.2">
      <c r="A20" s="41" t="s">
        <v>80</v>
      </c>
      <c r="B20" s="46"/>
      <c r="C20" s="47"/>
      <c r="D20" s="42"/>
      <c r="E20" s="38"/>
      <c r="F20" s="88"/>
      <c r="G20" s="111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88"/>
      <c r="S20" s="186"/>
      <c r="T20" s="187"/>
      <c r="U20" s="89"/>
      <c r="V20" s="152"/>
      <c r="W20" s="233"/>
      <c r="X20" s="100"/>
      <c r="Y20" s="128"/>
      <c r="Z20" s="100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116"/>
    </row>
    <row r="21" spans="1:46" s="22" customFormat="1" x14ac:dyDescent="0.2">
      <c r="A21" s="145" t="s">
        <v>462</v>
      </c>
      <c r="B21" s="1" t="s">
        <v>31</v>
      </c>
      <c r="C21" s="87" t="s">
        <v>461</v>
      </c>
      <c r="D21" s="101">
        <v>10</v>
      </c>
      <c r="E21" s="38">
        <v>0.1</v>
      </c>
      <c r="F21" s="88">
        <v>42185</v>
      </c>
      <c r="G21" s="101">
        <v>120</v>
      </c>
      <c r="H21" s="201">
        <f>100/G21</f>
        <v>0.83333333333333337</v>
      </c>
      <c r="I21" s="233">
        <f>H21*J21</f>
        <v>74.166666666666671</v>
      </c>
      <c r="J21" s="90">
        <f>(YEAR(F21)-YEAR(S21))*12+MONTH(F21)-MONTH(S21)</f>
        <v>89</v>
      </c>
      <c r="K21" s="233">
        <f>L21*H21</f>
        <v>25.833333333333336</v>
      </c>
      <c r="L21" s="90">
        <f>G21-J21</f>
        <v>31</v>
      </c>
      <c r="M21" s="233">
        <f>N21*H21</f>
        <v>5.8333333333333339</v>
      </c>
      <c r="N21" s="90">
        <v>7</v>
      </c>
      <c r="O21" s="233">
        <f>P21*H21</f>
        <v>20</v>
      </c>
      <c r="P21" s="90">
        <f t="shared" si="0"/>
        <v>24</v>
      </c>
      <c r="Q21" s="90"/>
      <c r="R21" s="88" t="s">
        <v>659</v>
      </c>
      <c r="S21" s="171">
        <v>39448</v>
      </c>
      <c r="T21" s="188">
        <v>1300</v>
      </c>
      <c r="U21" s="89">
        <v>335.87</v>
      </c>
      <c r="V21" s="152">
        <v>54.15</v>
      </c>
      <c r="W21" s="233">
        <v>0</v>
      </c>
      <c r="X21" s="100">
        <v>115.958</v>
      </c>
      <c r="Y21" s="125">
        <v>126.146</v>
      </c>
      <c r="Z21" s="100">
        <f>X21/Y21</f>
        <v>0.91923644031519036</v>
      </c>
      <c r="AA21" s="98">
        <f>U21*M21/100/K21*100/7</f>
        <v>10.834516129032258</v>
      </c>
      <c r="AB21" s="98">
        <f>AA21*Z21</f>
        <v>9.9594820389891279</v>
      </c>
      <c r="AC21" s="98"/>
      <c r="AD21" s="98"/>
      <c r="AE21" s="98"/>
      <c r="AF21" s="98"/>
      <c r="AG21" s="98"/>
      <c r="AH21" s="98">
        <v>9.9600000000000009</v>
      </c>
      <c r="AI21" s="98">
        <v>9.9600000000000009</v>
      </c>
      <c r="AJ21" s="98">
        <v>9.9600000000000009</v>
      </c>
      <c r="AK21" s="98">
        <v>9.9600000000000009</v>
      </c>
      <c r="AL21" s="98">
        <v>9.9600000000000009</v>
      </c>
      <c r="AM21" s="98">
        <v>9.9600000000000009</v>
      </c>
      <c r="AN21" s="98">
        <v>9.9600000000000009</v>
      </c>
      <c r="AO21" s="98">
        <f>SUM(AC21:AN21)</f>
        <v>69.72</v>
      </c>
      <c r="AP21" s="116">
        <f>U21-AO21</f>
        <v>266.14999999999998</v>
      </c>
    </row>
    <row r="22" spans="1:46" s="22" customFormat="1" x14ac:dyDescent="0.2">
      <c r="A22" s="41" t="s">
        <v>68</v>
      </c>
      <c r="B22" s="41" t="s">
        <v>92</v>
      </c>
      <c r="C22" s="145"/>
      <c r="D22" s="101"/>
      <c r="E22" s="38"/>
      <c r="F22" s="88"/>
      <c r="G22" s="101"/>
      <c r="H22" s="201"/>
      <c r="I22" s="233"/>
      <c r="J22" s="90"/>
      <c r="K22" s="233"/>
      <c r="L22" s="90"/>
      <c r="M22" s="233"/>
      <c r="N22" s="90"/>
      <c r="O22" s="233"/>
      <c r="P22" s="90"/>
      <c r="Q22" s="90"/>
      <c r="R22" s="88"/>
      <c r="S22" s="88"/>
      <c r="T22" s="89"/>
      <c r="U22" s="89"/>
      <c r="V22" s="152"/>
      <c r="W22" s="233"/>
      <c r="X22" s="100"/>
      <c r="Y22" s="125"/>
      <c r="Z22" s="10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</row>
    <row r="23" spans="1:46" s="22" customFormat="1" x14ac:dyDescent="0.2">
      <c r="A23" s="41" t="s">
        <v>87</v>
      </c>
      <c r="B23" s="13"/>
      <c r="C23" s="47"/>
      <c r="D23" s="42"/>
      <c r="E23" s="38"/>
      <c r="F23" s="88"/>
      <c r="G23" s="111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88"/>
      <c r="S23" s="186"/>
      <c r="T23" s="187"/>
      <c r="U23" s="89"/>
      <c r="V23" s="152"/>
      <c r="W23" s="233"/>
      <c r="X23" s="100"/>
      <c r="Y23" s="128"/>
      <c r="Z23" s="100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116"/>
    </row>
    <row r="24" spans="1:46" s="449" customFormat="1" x14ac:dyDescent="0.2">
      <c r="A24" s="434" t="s">
        <v>119</v>
      </c>
      <c r="B24" s="434" t="s">
        <v>877</v>
      </c>
      <c r="C24" s="450" t="s">
        <v>878</v>
      </c>
      <c r="D24" s="435">
        <v>10</v>
      </c>
      <c r="E24" s="451">
        <v>0.1</v>
      </c>
      <c r="F24" s="437">
        <v>42344</v>
      </c>
      <c r="G24" s="438">
        <v>120</v>
      </c>
      <c r="H24" s="439">
        <f>100/G24</f>
        <v>0.83333333333333337</v>
      </c>
      <c r="I24" s="440">
        <f>H24*J24</f>
        <v>0</v>
      </c>
      <c r="J24" s="438">
        <f>(YEAR(F24)-YEAR(S24))*12+MONTH(F24)-MONTH(S24)</f>
        <v>0</v>
      </c>
      <c r="K24" s="440">
        <f>L24*H24</f>
        <v>100</v>
      </c>
      <c r="L24" s="438">
        <f>G24-J24</f>
        <v>120</v>
      </c>
      <c r="M24" s="440">
        <f>N24*H24</f>
        <v>0</v>
      </c>
      <c r="N24" s="438">
        <v>0</v>
      </c>
      <c r="O24" s="440">
        <f>P24*H24</f>
        <v>100</v>
      </c>
      <c r="P24" s="438">
        <f t="shared" ref="P24" si="8">L24-N24</f>
        <v>120</v>
      </c>
      <c r="Q24" s="438">
        <f>M24-O24</f>
        <v>-100</v>
      </c>
      <c r="R24" s="438">
        <v>4660</v>
      </c>
      <c r="S24" s="437">
        <v>42344</v>
      </c>
      <c r="T24" s="443">
        <f>734*12</f>
        <v>8808</v>
      </c>
      <c r="U24" s="445">
        <v>0</v>
      </c>
      <c r="V24" s="447">
        <v>0</v>
      </c>
      <c r="W24" s="447">
        <v>118.051</v>
      </c>
      <c r="X24" s="445">
        <v>115.958</v>
      </c>
      <c r="Y24" s="447">
        <v>118.051</v>
      </c>
      <c r="Z24" s="445">
        <f>X24/Y24</f>
        <v>0.98227037466857536</v>
      </c>
      <c r="AA24" s="447">
        <f>H24*T24/100</f>
        <v>73.400000000000006</v>
      </c>
      <c r="AB24" s="447">
        <f>AA24*Z24</f>
        <v>72.098645500673442</v>
      </c>
      <c r="AC24" s="447"/>
      <c r="AD24" s="447"/>
      <c r="AE24" s="447"/>
      <c r="AF24" s="447"/>
      <c r="AG24" s="447"/>
      <c r="AH24" s="447"/>
      <c r="AI24" s="447"/>
      <c r="AJ24" s="447"/>
      <c r="AK24" s="448"/>
      <c r="AL24" s="448"/>
      <c r="AM24" s="448"/>
      <c r="AN24" s="448"/>
      <c r="AO24" s="448">
        <f>AN24</f>
        <v>0</v>
      </c>
      <c r="AP24" s="448">
        <f>T24-AO24</f>
        <v>8808</v>
      </c>
      <c r="AQ24" s="22"/>
      <c r="AR24" s="22"/>
      <c r="AS24" s="22"/>
      <c r="AT24" s="22"/>
    </row>
    <row r="25" spans="1:46" s="449" customFormat="1" x14ac:dyDescent="0.2">
      <c r="A25" s="434" t="s">
        <v>119</v>
      </c>
      <c r="B25" s="434" t="s">
        <v>863</v>
      </c>
      <c r="C25" s="450" t="s">
        <v>461</v>
      </c>
      <c r="D25" s="435">
        <v>10</v>
      </c>
      <c r="E25" s="451">
        <v>0.1</v>
      </c>
      <c r="F25" s="437">
        <v>42335</v>
      </c>
      <c r="G25" s="438">
        <v>120</v>
      </c>
      <c r="H25" s="439">
        <f>100/G25</f>
        <v>0.83333333333333337</v>
      </c>
      <c r="I25" s="440">
        <f>H25*J25</f>
        <v>0</v>
      </c>
      <c r="J25" s="438">
        <f>(YEAR(F25)-YEAR(S25))*12+MONTH(F25)-MONTH(S25)</f>
        <v>0</v>
      </c>
      <c r="K25" s="440">
        <f>L25*H25</f>
        <v>100</v>
      </c>
      <c r="L25" s="438">
        <f>G25-J25</f>
        <v>120</v>
      </c>
      <c r="M25" s="440">
        <f>N25*H25</f>
        <v>0.83333333333333337</v>
      </c>
      <c r="N25" s="438">
        <v>1</v>
      </c>
      <c r="O25" s="440">
        <f>P25*H25</f>
        <v>99.166666666666671</v>
      </c>
      <c r="P25" s="438">
        <f t="shared" ref="P25" si="9">L25-N25</f>
        <v>119</v>
      </c>
      <c r="Q25" s="438">
        <f>M25-O25</f>
        <v>-98.333333333333343</v>
      </c>
      <c r="R25" s="438">
        <v>4660</v>
      </c>
      <c r="S25" s="437">
        <v>42335</v>
      </c>
      <c r="T25" s="443">
        <f>734*2</f>
        <v>1468</v>
      </c>
      <c r="U25" s="445">
        <v>0</v>
      </c>
      <c r="V25" s="447">
        <v>0</v>
      </c>
      <c r="W25" s="447">
        <v>118.051</v>
      </c>
      <c r="X25" s="445">
        <v>115.958</v>
      </c>
      <c r="Y25" s="447">
        <v>118.051</v>
      </c>
      <c r="Z25" s="445">
        <f>X25/Y25</f>
        <v>0.98227037466857536</v>
      </c>
      <c r="AA25" s="447">
        <f>H25*T25/100</f>
        <v>12.233333333333334</v>
      </c>
      <c r="AB25" s="447">
        <f>AA25*Z25</f>
        <v>12.016440916778906</v>
      </c>
      <c r="AC25" s="447"/>
      <c r="AD25" s="447"/>
      <c r="AE25" s="447"/>
      <c r="AF25" s="447"/>
      <c r="AG25" s="447"/>
      <c r="AH25" s="447"/>
      <c r="AI25" s="447"/>
      <c r="AJ25" s="447"/>
      <c r="AK25" s="448"/>
      <c r="AL25" s="448"/>
      <c r="AM25" s="448"/>
      <c r="AN25" s="448">
        <f>AB25</f>
        <v>12.016440916778906</v>
      </c>
      <c r="AO25" s="448">
        <f>AN25</f>
        <v>12.016440916778906</v>
      </c>
      <c r="AP25" s="448">
        <f>T25-AO25</f>
        <v>1455.9835590832211</v>
      </c>
      <c r="AQ25" s="22"/>
      <c r="AR25" s="22"/>
      <c r="AS25" s="22"/>
      <c r="AT25" s="22"/>
    </row>
    <row r="26" spans="1:46" s="22" customFormat="1" x14ac:dyDescent="0.2">
      <c r="A26" s="13" t="s">
        <v>119</v>
      </c>
      <c r="B26" s="13" t="s">
        <v>36</v>
      </c>
      <c r="C26" s="87" t="s">
        <v>461</v>
      </c>
      <c r="D26" s="101">
        <v>10</v>
      </c>
      <c r="E26" s="38">
        <v>0.1</v>
      </c>
      <c r="F26" s="88">
        <v>42185</v>
      </c>
      <c r="G26" s="101">
        <v>120</v>
      </c>
      <c r="H26" s="201">
        <f>100/G26</f>
        <v>0.83333333333333337</v>
      </c>
      <c r="I26" s="233">
        <f>H26*J26</f>
        <v>104.16666666666667</v>
      </c>
      <c r="J26" s="90">
        <f>(YEAR(F26)-YEAR(S26))*12+MONTH(F26)-MONTH(S26)</f>
        <v>125</v>
      </c>
      <c r="K26" s="233">
        <f>L26*H26</f>
        <v>0</v>
      </c>
      <c r="L26" s="90">
        <v>0</v>
      </c>
      <c r="M26" s="233">
        <f>N26*H26</f>
        <v>0</v>
      </c>
      <c r="N26" s="90">
        <v>0</v>
      </c>
      <c r="O26" s="233">
        <f>P26*H26</f>
        <v>0</v>
      </c>
      <c r="P26" s="90">
        <f t="shared" si="0"/>
        <v>0</v>
      </c>
      <c r="Q26" s="90"/>
      <c r="R26" s="171" t="s">
        <v>659</v>
      </c>
      <c r="S26" s="186">
        <v>38353</v>
      </c>
      <c r="T26" s="187">
        <v>249</v>
      </c>
      <c r="U26" s="18">
        <v>1</v>
      </c>
      <c r="V26" s="152">
        <v>0</v>
      </c>
      <c r="W26" s="233">
        <v>0</v>
      </c>
      <c r="X26" s="100">
        <v>115.958</v>
      </c>
      <c r="Y26" s="125">
        <v>112.554</v>
      </c>
      <c r="Z26" s="100">
        <f>X26/Y26</f>
        <v>1.0302432610124916</v>
      </c>
      <c r="AA26" s="98">
        <v>0</v>
      </c>
      <c r="AB26" s="98">
        <v>0</v>
      </c>
      <c r="AC26" s="98"/>
      <c r="AD26" s="98"/>
      <c r="AE26" s="98"/>
      <c r="AF26" s="98"/>
      <c r="AG26" s="98"/>
      <c r="AH26" s="98">
        <f>AB26</f>
        <v>0</v>
      </c>
      <c r="AI26" s="98">
        <v>0</v>
      </c>
      <c r="AJ26" s="98">
        <v>0</v>
      </c>
      <c r="AK26" s="98">
        <v>0</v>
      </c>
      <c r="AL26" s="98">
        <v>0</v>
      </c>
      <c r="AM26" s="98">
        <v>0</v>
      </c>
      <c r="AN26" s="98">
        <v>0</v>
      </c>
      <c r="AO26" s="98">
        <f>SUM(AC26:AN26)</f>
        <v>0</v>
      </c>
      <c r="AP26" s="116">
        <f>U26-AO26</f>
        <v>1</v>
      </c>
    </row>
    <row r="27" spans="1:46" s="22" customFormat="1" x14ac:dyDescent="0.2">
      <c r="A27" s="41" t="s">
        <v>74</v>
      </c>
      <c r="B27" s="41" t="s">
        <v>92</v>
      </c>
      <c r="C27" s="145"/>
      <c r="D27" s="101"/>
      <c r="E27" s="38"/>
      <c r="F27" s="88"/>
      <c r="G27" s="101"/>
      <c r="H27" s="201"/>
      <c r="I27" s="233"/>
      <c r="J27" s="90"/>
      <c r="K27" s="233"/>
      <c r="L27" s="90"/>
      <c r="M27" s="233"/>
      <c r="N27" s="90"/>
      <c r="O27" s="233"/>
      <c r="P27" s="90"/>
      <c r="Q27" s="90"/>
      <c r="R27" s="29"/>
      <c r="S27" s="171"/>
      <c r="T27" s="188"/>
      <c r="U27" s="18"/>
      <c r="V27" s="152"/>
      <c r="W27" s="233"/>
      <c r="X27" s="100"/>
      <c r="Y27" s="125"/>
      <c r="Z27" s="100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16"/>
    </row>
    <row r="28" spans="1:46" s="22" customFormat="1" x14ac:dyDescent="0.2">
      <c r="A28" s="41" t="s">
        <v>121</v>
      </c>
      <c r="B28" s="13"/>
      <c r="C28" s="145"/>
      <c r="D28" s="101"/>
      <c r="E28" s="38"/>
      <c r="F28" s="88"/>
      <c r="G28" s="101"/>
      <c r="H28" s="201"/>
      <c r="I28" s="90"/>
      <c r="J28" s="90"/>
      <c r="K28" s="90"/>
      <c r="L28" s="90"/>
      <c r="M28" s="90"/>
      <c r="N28" s="90"/>
      <c r="O28" s="90"/>
      <c r="P28" s="90"/>
      <c r="Q28" s="90"/>
      <c r="R28" s="88"/>
      <c r="S28" s="171"/>
      <c r="T28" s="188"/>
      <c r="U28" s="89"/>
      <c r="V28" s="152"/>
      <c r="W28" s="233"/>
      <c r="X28" s="100"/>
      <c r="Y28" s="125"/>
      <c r="Z28" s="100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116"/>
    </row>
    <row r="29" spans="1:46" s="22" customFormat="1" x14ac:dyDescent="0.2">
      <c r="A29" s="13" t="s">
        <v>118</v>
      </c>
      <c r="B29" s="13" t="s">
        <v>35</v>
      </c>
      <c r="C29" s="87" t="s">
        <v>461</v>
      </c>
      <c r="D29" s="101">
        <v>10</v>
      </c>
      <c r="E29" s="38">
        <v>0.1</v>
      </c>
      <c r="F29" s="88">
        <v>42185</v>
      </c>
      <c r="G29" s="101">
        <v>120</v>
      </c>
      <c r="H29" s="201">
        <f>100/G29</f>
        <v>0.83333333333333337</v>
      </c>
      <c r="I29" s="233">
        <f>H29*J29</f>
        <v>104.16666666666667</v>
      </c>
      <c r="J29" s="90">
        <f>(YEAR(F29)-YEAR(S29))*12+MONTH(F29)-MONTH(S29)</f>
        <v>125</v>
      </c>
      <c r="K29" s="233">
        <f>L29*H29</f>
        <v>0</v>
      </c>
      <c r="L29" s="90">
        <v>0</v>
      </c>
      <c r="M29" s="233">
        <f>N29*H29</f>
        <v>0</v>
      </c>
      <c r="N29" s="90">
        <v>0</v>
      </c>
      <c r="O29" s="233">
        <f>P29*H29</f>
        <v>0</v>
      </c>
      <c r="P29" s="90">
        <f t="shared" ref="P29" si="10">L29-N29</f>
        <v>0</v>
      </c>
      <c r="Q29" s="24"/>
      <c r="R29" s="171" t="s">
        <v>659</v>
      </c>
      <c r="S29" s="171">
        <v>38353</v>
      </c>
      <c r="T29" s="188">
        <v>800</v>
      </c>
      <c r="U29" s="18">
        <v>1</v>
      </c>
      <c r="V29" s="152">
        <v>0</v>
      </c>
      <c r="W29" s="110"/>
      <c r="X29" s="100">
        <v>115.958</v>
      </c>
      <c r="Y29" s="125">
        <v>112.554</v>
      </c>
      <c r="Z29" s="100">
        <f>X29/Y29</f>
        <v>1.0302432610124916</v>
      </c>
      <c r="AA29" s="98">
        <v>0</v>
      </c>
      <c r="AB29" s="98">
        <v>0</v>
      </c>
      <c r="AC29" s="109"/>
      <c r="AD29" s="98"/>
      <c r="AE29" s="98"/>
      <c r="AF29" s="98"/>
      <c r="AG29" s="98"/>
      <c r="AH29" s="98">
        <v>0</v>
      </c>
      <c r="AI29" s="98">
        <v>0</v>
      </c>
      <c r="AJ29" s="98"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f>SUM(AC29:AN29)</f>
        <v>0</v>
      </c>
      <c r="AP29" s="116">
        <f>U29-AO29</f>
        <v>1</v>
      </c>
    </row>
    <row r="30" spans="1:46" s="22" customFormat="1" x14ac:dyDescent="0.2">
      <c r="A30" s="41" t="s">
        <v>74</v>
      </c>
      <c r="B30" s="41" t="s">
        <v>89</v>
      </c>
      <c r="C30" s="145"/>
      <c r="D30" s="101"/>
      <c r="E30" s="38"/>
      <c r="F30" s="88"/>
      <c r="G30" s="101"/>
      <c r="H30" s="201"/>
      <c r="I30" s="233"/>
      <c r="J30" s="90"/>
      <c r="K30" s="233"/>
      <c r="L30" s="90"/>
      <c r="M30" s="233"/>
      <c r="N30" s="90"/>
      <c r="O30" s="233"/>
      <c r="P30" s="90"/>
      <c r="Q30" s="90"/>
      <c r="R30" s="29"/>
      <c r="S30" s="171"/>
      <c r="T30" s="188"/>
      <c r="U30" s="18"/>
      <c r="V30" s="152"/>
      <c r="W30" s="110"/>
      <c r="X30" s="100"/>
      <c r="Y30" s="125"/>
      <c r="Z30" s="100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116"/>
    </row>
    <row r="31" spans="1:46" s="22" customFormat="1" x14ac:dyDescent="0.2">
      <c r="A31" s="41" t="s">
        <v>102</v>
      </c>
      <c r="B31" s="13"/>
      <c r="C31" s="87"/>
      <c r="D31" s="101"/>
      <c r="E31" s="96"/>
      <c r="F31" s="88"/>
      <c r="G31" s="101"/>
      <c r="H31" s="201"/>
      <c r="I31" s="90"/>
      <c r="J31" s="90"/>
      <c r="K31" s="90"/>
      <c r="L31" s="90"/>
      <c r="M31" s="90"/>
      <c r="N31" s="90"/>
      <c r="O31" s="90"/>
      <c r="P31" s="90"/>
      <c r="Q31" s="90"/>
      <c r="R31" s="88"/>
      <c r="S31" s="171"/>
      <c r="T31" s="188"/>
      <c r="U31" s="89"/>
      <c r="V31" s="152"/>
      <c r="W31" s="233"/>
      <c r="X31" s="100"/>
      <c r="Y31" s="125"/>
      <c r="Z31" s="100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116"/>
    </row>
    <row r="32" spans="1:46" s="22" customFormat="1" x14ac:dyDescent="0.2">
      <c r="A32" s="93" t="s">
        <v>120</v>
      </c>
      <c r="B32" s="146" t="s">
        <v>463</v>
      </c>
      <c r="C32" s="84" t="s">
        <v>461</v>
      </c>
      <c r="D32" s="105">
        <v>10</v>
      </c>
      <c r="E32" s="94">
        <v>0.1</v>
      </c>
      <c r="F32" s="83">
        <v>42185</v>
      </c>
      <c r="G32" s="105">
        <v>120</v>
      </c>
      <c r="H32" s="203">
        <f>100/G32</f>
        <v>0.83333333333333337</v>
      </c>
      <c r="I32" s="232">
        <f>H32*J32</f>
        <v>154.16666666666669</v>
      </c>
      <c r="J32" s="86">
        <f>(YEAR(F32)-YEAR(S32))*12+MONTH(F32)-MONTH(S32)</f>
        <v>185</v>
      </c>
      <c r="K32" s="232">
        <f>L32*H32</f>
        <v>0</v>
      </c>
      <c r="L32" s="86">
        <v>0</v>
      </c>
      <c r="M32" s="232">
        <f>N32*H32</f>
        <v>0</v>
      </c>
      <c r="N32" s="86">
        <v>0</v>
      </c>
      <c r="O32" s="232">
        <f>P32*H32</f>
        <v>0</v>
      </c>
      <c r="P32" s="86">
        <v>0</v>
      </c>
      <c r="Q32" s="95"/>
      <c r="R32" s="206" t="s">
        <v>659</v>
      </c>
      <c r="S32" s="206">
        <v>36526</v>
      </c>
      <c r="T32" s="265">
        <v>3300</v>
      </c>
      <c r="U32" s="266">
        <v>2502.5</v>
      </c>
      <c r="V32" s="151">
        <v>137.5</v>
      </c>
      <c r="W32" s="267"/>
      <c r="X32" s="102">
        <v>115.958</v>
      </c>
      <c r="Y32" s="124">
        <v>121.64</v>
      </c>
      <c r="Z32" s="102">
        <f>X32/Y32</f>
        <v>0.95328839197632353</v>
      </c>
      <c r="AA32" s="104">
        <f>U32/7</f>
        <v>357.5</v>
      </c>
      <c r="AB32" s="104">
        <f>AA32*Z32</f>
        <v>340.80060013153565</v>
      </c>
      <c r="AC32" s="268"/>
      <c r="AD32" s="104"/>
      <c r="AE32" s="104"/>
      <c r="AF32" s="104"/>
      <c r="AG32" s="104"/>
      <c r="AH32" s="104">
        <v>340.8</v>
      </c>
      <c r="AI32" s="104">
        <v>340.8</v>
      </c>
      <c r="AJ32" s="104">
        <v>340.8</v>
      </c>
      <c r="AK32" s="104">
        <v>340.8</v>
      </c>
      <c r="AL32" s="104">
        <v>340.8</v>
      </c>
      <c r="AM32" s="104">
        <v>340.8</v>
      </c>
      <c r="AN32" s="104">
        <v>340.8</v>
      </c>
      <c r="AO32" s="104">
        <f>SUM(AC32:AN32)</f>
        <v>2385.6</v>
      </c>
      <c r="AP32" s="115">
        <f>U32-AO32</f>
        <v>116.90000000000009</v>
      </c>
    </row>
    <row r="33" spans="1:46" s="22" customFormat="1" x14ac:dyDescent="0.2">
      <c r="A33" s="41" t="s">
        <v>68</v>
      </c>
      <c r="B33" s="41" t="s">
        <v>330</v>
      </c>
      <c r="C33" s="145"/>
      <c r="D33" s="101"/>
      <c r="E33" s="38"/>
      <c r="F33" s="88"/>
      <c r="G33" s="101"/>
      <c r="H33" s="201"/>
      <c r="I33" s="233"/>
      <c r="J33" s="90"/>
      <c r="K33" s="233"/>
      <c r="L33" s="90"/>
      <c r="M33" s="233"/>
      <c r="N33" s="90"/>
      <c r="O33" s="233"/>
      <c r="P33" s="90"/>
      <c r="Q33" s="90"/>
      <c r="R33" s="29"/>
      <c r="S33" s="171"/>
      <c r="T33" s="188"/>
      <c r="U33" s="18"/>
      <c r="V33" s="152"/>
      <c r="W33" s="110"/>
      <c r="X33" s="110"/>
      <c r="Y33" s="125"/>
      <c r="Z33" s="110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116"/>
    </row>
    <row r="34" spans="1:46" s="22" customFormat="1" x14ac:dyDescent="0.2">
      <c r="A34" s="41" t="s">
        <v>82</v>
      </c>
      <c r="B34" s="13"/>
      <c r="C34" s="145"/>
      <c r="D34" s="101"/>
      <c r="E34" s="38"/>
      <c r="F34" s="88"/>
      <c r="G34" s="101"/>
      <c r="H34" s="201"/>
      <c r="I34" s="233"/>
      <c r="J34" s="90"/>
      <c r="K34" s="233"/>
      <c r="L34" s="90"/>
      <c r="M34" s="233"/>
      <c r="N34" s="90"/>
      <c r="O34" s="233"/>
      <c r="P34" s="90"/>
      <c r="Q34" s="90"/>
      <c r="R34" s="88"/>
      <c r="S34" s="171"/>
      <c r="T34" s="188"/>
      <c r="U34" s="89"/>
      <c r="V34" s="152"/>
      <c r="W34" s="233"/>
      <c r="X34" s="100"/>
      <c r="Y34" s="125"/>
      <c r="Z34" s="100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116"/>
    </row>
    <row r="35" spans="1:46" s="22" customFormat="1" x14ac:dyDescent="0.2">
      <c r="A35" s="13" t="s">
        <v>329</v>
      </c>
      <c r="B35" s="13" t="s">
        <v>330</v>
      </c>
      <c r="C35" s="87" t="s">
        <v>461</v>
      </c>
      <c r="D35" s="101">
        <v>3</v>
      </c>
      <c r="E35" s="38">
        <v>0.33329999999999999</v>
      </c>
      <c r="F35" s="88">
        <v>42185</v>
      </c>
      <c r="G35" s="101">
        <v>36</v>
      </c>
      <c r="H35" s="201">
        <f>100/G35</f>
        <v>2.7777777777777777</v>
      </c>
      <c r="I35" s="233">
        <f>H35*J35</f>
        <v>44.444444444444443</v>
      </c>
      <c r="J35" s="90">
        <f>(YEAR(F35)-YEAR(S35))*12+MONTH(F35)-MONTH(S35)</f>
        <v>16</v>
      </c>
      <c r="K35" s="233">
        <f>L35*H35</f>
        <v>55.555555555555557</v>
      </c>
      <c r="L35" s="90">
        <f>G35-J35</f>
        <v>20</v>
      </c>
      <c r="M35" s="233">
        <f>N35*H35</f>
        <v>19.444444444444443</v>
      </c>
      <c r="N35" s="90">
        <v>7</v>
      </c>
      <c r="O35" s="233">
        <f>P35*H35</f>
        <v>36.111111111111107</v>
      </c>
      <c r="P35" s="90">
        <f t="shared" ref="P35" si="11">L35-N35</f>
        <v>13</v>
      </c>
      <c r="Q35" s="90"/>
      <c r="R35" s="24">
        <v>168313</v>
      </c>
      <c r="S35" s="171">
        <v>41697</v>
      </c>
      <c r="T35" s="188">
        <v>6722.2</v>
      </c>
      <c r="U35" s="18">
        <v>3548.14</v>
      </c>
      <c r="V35" s="152">
        <v>933.55</v>
      </c>
      <c r="W35" s="110"/>
      <c r="X35" s="100">
        <v>115.958</v>
      </c>
      <c r="Y35" s="125">
        <v>112.79</v>
      </c>
      <c r="Z35" s="100">
        <f>X35/Y35</f>
        <v>1.0280875964181222</v>
      </c>
      <c r="AA35" s="98">
        <f>U35*M35/100/K35*100/7</f>
        <v>177.40699999999998</v>
      </c>
      <c r="AB35" s="98">
        <f>AA35*Z35</f>
        <v>182.38993621774978</v>
      </c>
      <c r="AC35" s="98"/>
      <c r="AD35" s="98"/>
      <c r="AE35" s="98"/>
      <c r="AF35" s="98"/>
      <c r="AG35" s="98"/>
      <c r="AH35" s="98">
        <v>182.39</v>
      </c>
      <c r="AI35" s="98">
        <v>182.39</v>
      </c>
      <c r="AJ35" s="98">
        <v>182.39</v>
      </c>
      <c r="AK35" s="98">
        <v>182.39</v>
      </c>
      <c r="AL35" s="98">
        <v>182.39</v>
      </c>
      <c r="AM35" s="98">
        <v>182.39</v>
      </c>
      <c r="AN35" s="98">
        <v>182.39</v>
      </c>
      <c r="AO35" s="98">
        <f>SUM(AC35:AN35)</f>
        <v>1276.73</v>
      </c>
      <c r="AP35" s="116">
        <f>U35-AO35</f>
        <v>2271.41</v>
      </c>
    </row>
    <row r="36" spans="1:46" s="22" customFormat="1" x14ac:dyDescent="0.2">
      <c r="A36" s="41" t="s">
        <v>74</v>
      </c>
      <c r="B36" s="172" t="s">
        <v>830</v>
      </c>
      <c r="C36" s="145"/>
      <c r="D36" s="101"/>
      <c r="E36" s="38"/>
      <c r="F36" s="88"/>
      <c r="G36" s="101"/>
      <c r="H36" s="201"/>
      <c r="I36" s="233"/>
      <c r="J36" s="90"/>
      <c r="K36" s="233"/>
      <c r="L36" s="90"/>
      <c r="M36" s="233"/>
      <c r="N36" s="90"/>
      <c r="O36" s="233"/>
      <c r="P36" s="90"/>
      <c r="Q36" s="90"/>
      <c r="R36" s="29"/>
      <c r="S36" s="171"/>
      <c r="T36" s="188"/>
      <c r="U36" s="18"/>
      <c r="V36" s="152"/>
      <c r="W36" s="233"/>
      <c r="X36" s="100"/>
      <c r="Y36" s="125"/>
      <c r="Z36" s="100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116"/>
    </row>
    <row r="37" spans="1:46" s="22" customFormat="1" x14ac:dyDescent="0.2">
      <c r="A37" s="172" t="s">
        <v>831</v>
      </c>
      <c r="B37" s="13"/>
      <c r="C37" s="145"/>
      <c r="D37" s="101"/>
      <c r="E37" s="38"/>
      <c r="F37" s="88"/>
      <c r="G37" s="101"/>
      <c r="H37" s="201"/>
      <c r="I37" s="90"/>
      <c r="J37" s="90"/>
      <c r="K37" s="90"/>
      <c r="L37" s="90"/>
      <c r="M37" s="90"/>
      <c r="N37" s="90"/>
      <c r="O37" s="90"/>
      <c r="P37" s="90"/>
      <c r="Q37" s="90"/>
      <c r="R37" s="88"/>
      <c r="S37" s="171"/>
      <c r="T37" s="188"/>
      <c r="U37" s="89"/>
      <c r="V37" s="152"/>
      <c r="W37" s="233"/>
      <c r="X37" s="100"/>
      <c r="Y37" s="125"/>
      <c r="Z37" s="100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116"/>
    </row>
    <row r="38" spans="1:46" s="22" customFormat="1" x14ac:dyDescent="0.2">
      <c r="A38" s="388" t="s">
        <v>832</v>
      </c>
      <c r="B38" s="388" t="s">
        <v>833</v>
      </c>
      <c r="C38" s="405" t="s">
        <v>461</v>
      </c>
      <c r="D38" s="389">
        <v>10</v>
      </c>
      <c r="E38" s="416">
        <v>0.1</v>
      </c>
      <c r="F38" s="391">
        <v>42185</v>
      </c>
      <c r="G38" s="389">
        <v>120</v>
      </c>
      <c r="H38" s="393">
        <f>100/G38</f>
        <v>0.83333333333333337</v>
      </c>
      <c r="I38" s="394">
        <f>H38*J38</f>
        <v>0</v>
      </c>
      <c r="J38" s="392">
        <v>0</v>
      </c>
      <c r="K38" s="394">
        <f>L38*H38</f>
        <v>100</v>
      </c>
      <c r="L38" s="392">
        <f>G38-J38</f>
        <v>120</v>
      </c>
      <c r="M38" s="394">
        <f>N38*H38</f>
        <v>0.83333333333333337</v>
      </c>
      <c r="N38" s="392">
        <v>1</v>
      </c>
      <c r="O38" s="394">
        <f>P38*H38</f>
        <v>99.166666666666671</v>
      </c>
      <c r="P38" s="392">
        <f t="shared" ref="P38" si="12">L38-N38</f>
        <v>119</v>
      </c>
      <c r="Q38" s="407"/>
      <c r="R38" s="395" t="s">
        <v>834</v>
      </c>
      <c r="S38" s="395">
        <v>42333</v>
      </c>
      <c r="T38" s="396">
        <v>1638</v>
      </c>
      <c r="U38" s="417">
        <v>0</v>
      </c>
      <c r="V38" s="398">
        <v>0</v>
      </c>
      <c r="W38" s="408"/>
      <c r="X38" s="399">
        <v>115.958</v>
      </c>
      <c r="Y38" s="400">
        <v>118.051</v>
      </c>
      <c r="Z38" s="399">
        <f>X38/Y38</f>
        <v>0.98227037466857536</v>
      </c>
      <c r="AA38" s="401">
        <f>T38*M38/100/K38*100/1</f>
        <v>13.65</v>
      </c>
      <c r="AB38" s="419">
        <f>AA38*Z38</f>
        <v>13.407990614226055</v>
      </c>
      <c r="AC38" s="418"/>
      <c r="AD38" s="401"/>
      <c r="AE38" s="401"/>
      <c r="AF38" s="401"/>
      <c r="AG38" s="401"/>
      <c r="AH38" s="401">
        <v>0</v>
      </c>
      <c r="AI38" s="401">
        <v>0</v>
      </c>
      <c r="AJ38" s="401">
        <v>0</v>
      </c>
      <c r="AK38" s="401">
        <v>0</v>
      </c>
      <c r="AL38" s="401">
        <v>0</v>
      </c>
      <c r="AM38" s="401">
        <v>0</v>
      </c>
      <c r="AN38" s="401">
        <v>13.4</v>
      </c>
      <c r="AO38" s="401">
        <f>SUM(AC38:AN38)</f>
        <v>13.4</v>
      </c>
      <c r="AP38" s="402">
        <f>T38-AO38</f>
        <v>1624.6</v>
      </c>
    </row>
    <row r="39" spans="1:46" x14ac:dyDescent="0.2">
      <c r="R39" s="243"/>
      <c r="V39" s="263"/>
      <c r="AB39" s="263"/>
      <c r="AH39" s="263">
        <f t="shared" ref="AH39" si="13">SUM(AH15:AH35)</f>
        <v>650.93000000000006</v>
      </c>
      <c r="AI39" s="263"/>
      <c r="AJ39" s="263"/>
      <c r="AK39" s="263"/>
      <c r="AL39" s="263"/>
      <c r="AM39" s="263"/>
      <c r="AN39" s="372">
        <f t="shared" ref="AN39:AO39" si="14">SUM(AN15:AN38)</f>
        <v>676.34644091677887</v>
      </c>
      <c r="AO39" s="372">
        <f t="shared" si="14"/>
        <v>4581.926440916779</v>
      </c>
      <c r="AP39" s="372">
        <f>SUM(AP15:AP38)</f>
        <v>22578.983559083226</v>
      </c>
    </row>
    <row r="40" spans="1:46" s="150" customFormat="1" x14ac:dyDescent="0.2">
      <c r="A40" s="156" t="s">
        <v>460</v>
      </c>
      <c r="B40" s="132"/>
      <c r="C40" s="132"/>
      <c r="D40" s="133"/>
      <c r="E40" s="133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4"/>
      <c r="S40" s="134"/>
      <c r="T40" s="135"/>
      <c r="U40" s="135"/>
      <c r="W40"/>
      <c r="X40"/>
      <c r="Y40" s="121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 s="113"/>
      <c r="AQ40" s="149"/>
      <c r="AR40" s="149"/>
      <c r="AS40" s="149"/>
      <c r="AT40" s="149"/>
    </row>
    <row r="41" spans="1:46" s="150" customFormat="1" x14ac:dyDescent="0.2">
      <c r="A41" s="14"/>
      <c r="B41"/>
      <c r="C41"/>
      <c r="D41" s="27"/>
      <c r="E41" s="27"/>
      <c r="F41"/>
      <c r="G41"/>
      <c r="H41"/>
      <c r="I41"/>
      <c r="J41"/>
      <c r="K41"/>
      <c r="L41"/>
      <c r="M41"/>
      <c r="N41"/>
      <c r="O41"/>
      <c r="P41"/>
      <c r="Q41"/>
      <c r="R41" s="28"/>
      <c r="S41" s="28"/>
      <c r="T41" s="16"/>
      <c r="U41" s="16"/>
      <c r="W41"/>
      <c r="X41"/>
      <c r="Y41" s="12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 s="113"/>
      <c r="AQ41" s="149"/>
      <c r="AR41" s="149"/>
      <c r="AS41" s="149"/>
      <c r="AT41" s="149"/>
    </row>
    <row r="42" spans="1:46" ht="30.75" hidden="1" customHeight="1" x14ac:dyDescent="0.2">
      <c r="A42" s="568" t="s">
        <v>613</v>
      </c>
      <c r="B42" s="568"/>
      <c r="C42" s="568"/>
      <c r="D42" s="568"/>
      <c r="E42" s="568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8"/>
      <c r="S42" s="568"/>
      <c r="T42" s="568"/>
      <c r="U42" s="568"/>
      <c r="V42" s="568"/>
      <c r="W42" s="568"/>
      <c r="X42" s="568"/>
      <c r="Y42" s="239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</row>
    <row r="43" spans="1:46" hidden="1" x14ac:dyDescent="0.2">
      <c r="A43" s="568"/>
      <c r="B43" s="568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</row>
    <row r="45" spans="1:46" x14ac:dyDescent="0.2">
      <c r="V45" s="567" t="s">
        <v>1062</v>
      </c>
      <c r="W45" s="572"/>
      <c r="X45" s="572"/>
      <c r="Y45" s="572"/>
      <c r="Z45" s="572"/>
      <c r="AA45" s="16"/>
      <c r="AN45" s="525">
        <f>SUM(AN39-AN38-AN25-AN24)</f>
        <v>650.92999999999995</v>
      </c>
      <c r="AO45" s="375"/>
    </row>
    <row r="46" spans="1:46" x14ac:dyDescent="0.2">
      <c r="V46" s="572"/>
      <c r="W46" s="572"/>
      <c r="X46" s="572"/>
      <c r="Y46" s="572"/>
      <c r="Z46" s="572"/>
      <c r="AB46" s="16"/>
      <c r="AN46" s="17">
        <f>SUM(AO38+AO25+AO24)+AN45</f>
        <v>676.34644091677887</v>
      </c>
    </row>
    <row r="47" spans="1:46" x14ac:dyDescent="0.2">
      <c r="V47" s="572"/>
      <c r="W47" s="572"/>
      <c r="X47" s="572"/>
      <c r="Y47" s="572"/>
      <c r="Z47" s="572"/>
    </row>
    <row r="48" spans="1:46" x14ac:dyDescent="0.2">
      <c r="V48" s="572"/>
      <c r="W48" s="572"/>
      <c r="X48" s="572"/>
      <c r="Y48" s="572"/>
      <c r="Z48" s="572"/>
    </row>
  </sheetData>
  <mergeCells count="26">
    <mergeCell ref="V45:Z48"/>
    <mergeCell ref="A42:X4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P29"/>
  <sheetViews>
    <sheetView topLeftCell="F4" zoomScale="110" zoomScaleNormal="110" workbookViewId="0">
      <selection activeCell="AR16" sqref="AR16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425781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</cols>
  <sheetData>
    <row r="1" spans="1:42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2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2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2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2" x14ac:dyDescent="0.2">
      <c r="A5" s="137"/>
      <c r="B5" s="144" t="s">
        <v>481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2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2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2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2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2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2" ht="54" customHeight="1" x14ac:dyDescent="0.25">
      <c r="A11" s="552" t="s">
        <v>60</v>
      </c>
      <c r="B11" s="552" t="s">
        <v>0</v>
      </c>
      <c r="C11" s="27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2" t="s">
        <v>680</v>
      </c>
      <c r="O11" s="556" t="s">
        <v>643</v>
      </c>
      <c r="P11" s="27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2" ht="32.25" customHeight="1" x14ac:dyDescent="0.25">
      <c r="A12" s="553"/>
      <c r="B12" s="553"/>
      <c r="C12" s="283" t="s">
        <v>481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3"/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2" s="22" customFormat="1" x14ac:dyDescent="0.2">
      <c r="A13" s="41" t="s">
        <v>74</v>
      </c>
      <c r="B13" s="41" t="s">
        <v>89</v>
      </c>
      <c r="C13" s="87"/>
      <c r="D13" s="101"/>
      <c r="E13" s="48"/>
      <c r="F13" s="88"/>
      <c r="G13" s="101"/>
      <c r="H13" s="201"/>
      <c r="I13" s="233"/>
      <c r="J13" s="90"/>
      <c r="K13" s="233"/>
      <c r="L13" s="90"/>
      <c r="M13" s="233"/>
      <c r="N13" s="90"/>
      <c r="O13" s="233"/>
      <c r="P13" s="90"/>
      <c r="Q13" s="90"/>
      <c r="R13" s="171"/>
      <c r="S13" s="171"/>
      <c r="T13" s="188"/>
      <c r="U13" s="18"/>
      <c r="V13" s="152"/>
      <c r="W13" s="110"/>
      <c r="X13" s="100"/>
      <c r="Y13" s="125"/>
      <c r="Z13" s="100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16"/>
    </row>
    <row r="14" spans="1:42" s="22" customFormat="1" x14ac:dyDescent="0.2">
      <c r="A14" s="41" t="s">
        <v>102</v>
      </c>
      <c r="B14" s="13"/>
      <c r="C14" s="47"/>
      <c r="D14" s="101"/>
      <c r="E14" s="48"/>
      <c r="F14" s="88"/>
      <c r="G14" s="101"/>
      <c r="H14" s="201"/>
      <c r="I14" s="233"/>
      <c r="J14" s="90"/>
      <c r="K14" s="233"/>
      <c r="L14" s="90"/>
      <c r="M14" s="233"/>
      <c r="N14" s="90"/>
      <c r="O14" s="233"/>
      <c r="P14" s="90"/>
      <c r="Q14" s="90"/>
      <c r="R14" s="88"/>
      <c r="S14" s="171"/>
      <c r="T14" s="188"/>
      <c r="U14" s="18"/>
      <c r="V14" s="152"/>
      <c r="W14" s="233"/>
      <c r="X14" s="100"/>
      <c r="Y14" s="125"/>
      <c r="Z14" s="100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116"/>
    </row>
    <row r="15" spans="1:42" s="22" customFormat="1" x14ac:dyDescent="0.2">
      <c r="A15" s="92" t="s">
        <v>134</v>
      </c>
      <c r="B15" s="93" t="s">
        <v>38</v>
      </c>
      <c r="C15" s="84" t="s">
        <v>478</v>
      </c>
      <c r="D15" s="105">
        <v>10</v>
      </c>
      <c r="E15" s="94">
        <v>0.1</v>
      </c>
      <c r="F15" s="88">
        <v>42185</v>
      </c>
      <c r="G15" s="101">
        <v>120</v>
      </c>
      <c r="H15" s="201">
        <f t="shared" ref="H15" si="0">100/G15</f>
        <v>0.83333333333333337</v>
      </c>
      <c r="I15" s="233">
        <f>H15*J15</f>
        <v>154.16666666666669</v>
      </c>
      <c r="J15" s="90">
        <f>(YEAR(F15)-YEAR(S15))*12+MONTH(F15)-MONTH(S15)</f>
        <v>185</v>
      </c>
      <c r="K15" s="233">
        <f t="shared" ref="K15" si="1">L15*H15</f>
        <v>0</v>
      </c>
      <c r="L15" s="90">
        <v>0</v>
      </c>
      <c r="M15" s="233">
        <f t="shared" ref="M15" si="2">N15*H15</f>
        <v>5.8333333333333339</v>
      </c>
      <c r="N15" s="90">
        <v>7</v>
      </c>
      <c r="O15" s="233">
        <f t="shared" ref="O15" si="3">P15*H15</f>
        <v>0</v>
      </c>
      <c r="P15" s="90">
        <v>0</v>
      </c>
      <c r="Q15" s="90"/>
      <c r="R15" s="88" t="s">
        <v>595</v>
      </c>
      <c r="S15" s="177">
        <v>36526</v>
      </c>
      <c r="T15" s="173">
        <v>1650</v>
      </c>
      <c r="U15" s="89">
        <v>96.25</v>
      </c>
      <c r="V15" s="152">
        <v>68.75</v>
      </c>
      <c r="W15" s="233"/>
      <c r="X15" s="100">
        <v>115.958</v>
      </c>
      <c r="Y15" s="124">
        <v>86.73</v>
      </c>
      <c r="Z15" s="100">
        <f t="shared" ref="Z15" si="4">X15/Y15</f>
        <v>1.3369998846996425</v>
      </c>
      <c r="AA15" s="98">
        <f>U15/7</f>
        <v>13.75</v>
      </c>
      <c r="AB15" s="98">
        <f>Z15*AA15</f>
        <v>18.383748414620083</v>
      </c>
      <c r="AC15" s="98"/>
      <c r="AD15" s="98"/>
      <c r="AE15" s="98"/>
      <c r="AF15" s="98"/>
      <c r="AG15" s="98"/>
      <c r="AH15" s="98">
        <v>18.38</v>
      </c>
      <c r="AI15" s="98">
        <v>18.38</v>
      </c>
      <c r="AJ15" s="98">
        <v>18.38</v>
      </c>
      <c r="AK15" s="98">
        <v>18.38</v>
      </c>
      <c r="AL15" s="98">
        <v>18.38</v>
      </c>
      <c r="AM15" s="98">
        <v>3.35</v>
      </c>
      <c r="AN15" s="98"/>
      <c r="AO15" s="98">
        <f>SUM(AH15:AN15)</f>
        <v>95.249999999999986</v>
      </c>
      <c r="AP15" s="116">
        <f>U15-AO15</f>
        <v>1.0000000000000142</v>
      </c>
    </row>
    <row r="16" spans="1:42" s="22" customFormat="1" x14ac:dyDescent="0.2">
      <c r="A16" s="41" t="s">
        <v>68</v>
      </c>
      <c r="B16" s="41" t="s">
        <v>136</v>
      </c>
      <c r="C16" s="87"/>
      <c r="D16" s="101"/>
      <c r="E16" s="38"/>
      <c r="F16" s="88"/>
      <c r="G16" s="101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88"/>
      <c r="S16" s="52"/>
      <c r="T16" s="174"/>
      <c r="U16" s="89"/>
      <c r="V16" s="152"/>
      <c r="W16" s="233"/>
      <c r="X16" s="100"/>
      <c r="Y16" s="125"/>
      <c r="Z16" s="10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116"/>
    </row>
    <row r="17" spans="1:42" s="22" customFormat="1" x14ac:dyDescent="0.2">
      <c r="A17" s="41" t="s">
        <v>135</v>
      </c>
      <c r="B17" s="54"/>
      <c r="C17" s="47"/>
      <c r="D17" s="42"/>
      <c r="E17" s="38"/>
      <c r="F17" s="88"/>
      <c r="G17" s="101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88"/>
      <c r="S17" s="29"/>
      <c r="T17" s="9"/>
      <c r="U17" s="89"/>
      <c r="V17" s="152"/>
      <c r="W17" s="233"/>
      <c r="X17" s="100"/>
      <c r="Y17" s="128"/>
      <c r="Z17" s="10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16"/>
    </row>
    <row r="18" spans="1:42" s="22" customFormat="1" x14ac:dyDescent="0.2">
      <c r="A18" s="29" t="s">
        <v>137</v>
      </c>
      <c r="B18" s="13" t="s">
        <v>39</v>
      </c>
      <c r="C18" s="87" t="s">
        <v>478</v>
      </c>
      <c r="D18" s="101">
        <v>10</v>
      </c>
      <c r="E18" s="38">
        <v>0.1</v>
      </c>
      <c r="F18" s="88">
        <v>42185</v>
      </c>
      <c r="G18" s="101">
        <v>120</v>
      </c>
      <c r="H18" s="201">
        <f t="shared" ref="H18" si="5">100/G18</f>
        <v>0.83333333333333337</v>
      </c>
      <c r="I18" s="233">
        <f>H18*J18</f>
        <v>111.66666666666667</v>
      </c>
      <c r="J18" s="90">
        <f>(YEAR(F18)-YEAR(S18))*12+MONTH(F18)-MONTH(S18)</f>
        <v>134</v>
      </c>
      <c r="K18" s="233">
        <f t="shared" ref="K18" si="6">L18*H18</f>
        <v>0</v>
      </c>
      <c r="L18" s="90">
        <v>0</v>
      </c>
      <c r="M18" s="233">
        <f t="shared" ref="M18" si="7">N18*H18</f>
        <v>5.8333333333333339</v>
      </c>
      <c r="N18" s="90">
        <v>7</v>
      </c>
      <c r="O18" s="233">
        <f t="shared" ref="O18" si="8">P18*H18</f>
        <v>0</v>
      </c>
      <c r="P18" s="90">
        <v>0</v>
      </c>
      <c r="Q18" s="90"/>
      <c r="R18" s="88" t="s">
        <v>699</v>
      </c>
      <c r="S18" s="52">
        <v>38103</v>
      </c>
      <c r="T18" s="9">
        <v>2300</v>
      </c>
      <c r="U18" s="89">
        <v>57.46</v>
      </c>
      <c r="V18" s="152">
        <v>95.85</v>
      </c>
      <c r="W18" s="233"/>
      <c r="X18" s="100">
        <v>115.958</v>
      </c>
      <c r="Y18" s="125">
        <v>108.836</v>
      </c>
      <c r="Z18" s="100">
        <f>X18/Y18</f>
        <v>1.0654379065750303</v>
      </c>
      <c r="AA18" s="98">
        <f>U18/7</f>
        <v>8.2085714285714282</v>
      </c>
      <c r="AB18" s="98">
        <f>Z18*AA18</f>
        <v>8.7457231588287492</v>
      </c>
      <c r="AC18" s="98"/>
      <c r="AD18" s="98"/>
      <c r="AE18" s="98"/>
      <c r="AF18" s="98"/>
      <c r="AG18" s="98"/>
      <c r="AH18" s="98">
        <v>8.75</v>
      </c>
      <c r="AI18" s="98">
        <v>8.75</v>
      </c>
      <c r="AJ18" s="98">
        <v>8.75</v>
      </c>
      <c r="AK18" s="98">
        <v>8.75</v>
      </c>
      <c r="AL18" s="98">
        <v>8.75</v>
      </c>
      <c r="AM18" s="98">
        <v>8.75</v>
      </c>
      <c r="AN18" s="98">
        <v>3.96</v>
      </c>
      <c r="AO18" s="98">
        <f>SUM(AH18:AN18)</f>
        <v>56.46</v>
      </c>
      <c r="AP18" s="116">
        <f>U18-AO18</f>
        <v>1</v>
      </c>
    </row>
    <row r="19" spans="1:42" x14ac:dyDescent="0.2">
      <c r="R19" s="243"/>
      <c r="V19" s="263"/>
      <c r="AB19" s="263"/>
      <c r="AH19" s="263">
        <f t="shared" ref="AH19:AO19" si="9">SUM(AH13:AH18)</f>
        <v>27.13</v>
      </c>
      <c r="AI19" s="263"/>
      <c r="AJ19" s="263"/>
      <c r="AK19" s="263"/>
      <c r="AL19" s="263"/>
      <c r="AM19" s="263">
        <f t="shared" si="9"/>
        <v>12.1</v>
      </c>
      <c r="AN19" s="263">
        <f t="shared" si="9"/>
        <v>3.96</v>
      </c>
      <c r="AO19" s="263">
        <f t="shared" si="9"/>
        <v>151.70999999999998</v>
      </c>
      <c r="AP19" s="263">
        <f>SUM(AP13:AP18)</f>
        <v>2.0000000000000142</v>
      </c>
    </row>
    <row r="20" spans="1:42" s="150" customFormat="1" x14ac:dyDescent="0.2">
      <c r="A20" s="156" t="s">
        <v>460</v>
      </c>
      <c r="B20" s="132"/>
      <c r="C20" s="132"/>
      <c r="D20" s="133"/>
      <c r="E20" s="133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4"/>
      <c r="S20" s="134"/>
      <c r="T20" s="135"/>
      <c r="U20" s="135"/>
      <c r="W20"/>
      <c r="X20"/>
      <c r="Y20" s="121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 s="113"/>
    </row>
    <row r="21" spans="1:42" s="150" customFormat="1" x14ac:dyDescent="0.2">
      <c r="A21" s="14"/>
      <c r="B21"/>
      <c r="C21"/>
      <c r="D21" s="27"/>
      <c r="E21" s="27"/>
      <c r="F21"/>
      <c r="G21"/>
      <c r="H21"/>
      <c r="I21"/>
      <c r="J21"/>
      <c r="K21"/>
      <c r="L21"/>
      <c r="M21"/>
      <c r="N21"/>
      <c r="O21"/>
      <c r="P21"/>
      <c r="Q21"/>
      <c r="R21" s="28"/>
      <c r="S21" s="28"/>
      <c r="T21" s="16"/>
      <c r="U21" s="16"/>
      <c r="W21"/>
      <c r="X21"/>
      <c r="Y21" s="121"/>
      <c r="Z21"/>
      <c r="AA21" s="16"/>
      <c r="AB21"/>
      <c r="AC21"/>
      <c r="AD21"/>
      <c r="AE21"/>
      <c r="AF21"/>
      <c r="AG21"/>
      <c r="AH21"/>
      <c r="AI21"/>
      <c r="AJ21"/>
      <c r="AK21"/>
      <c r="AL21"/>
      <c r="AM21"/>
      <c r="AN21"/>
      <c r="AP21" s="113"/>
    </row>
    <row r="22" spans="1:42" ht="30.75" hidden="1" customHeight="1" x14ac:dyDescent="0.2">
      <c r="A22" s="568" t="s">
        <v>613</v>
      </c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239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</row>
    <row r="23" spans="1:42" hidden="1" x14ac:dyDescent="0.2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</row>
    <row r="26" spans="1:42" x14ac:dyDescent="0.2">
      <c r="U26" s="567"/>
      <c r="V26" s="572"/>
      <c r="W26" s="572"/>
      <c r="X26" s="572"/>
      <c r="Y26" s="572"/>
    </row>
    <row r="27" spans="1:42" x14ac:dyDescent="0.2">
      <c r="U27" s="572"/>
      <c r="V27" s="572"/>
      <c r="W27" s="572"/>
      <c r="X27" s="572"/>
      <c r="Y27" s="572"/>
    </row>
    <row r="28" spans="1:42" x14ac:dyDescent="0.2">
      <c r="U28" s="572"/>
      <c r="V28" s="572"/>
      <c r="W28" s="572"/>
      <c r="X28" s="572"/>
      <c r="Y28" s="572"/>
    </row>
    <row r="29" spans="1:42" x14ac:dyDescent="0.2">
      <c r="U29" s="572"/>
      <c r="V29" s="572"/>
      <c r="W29" s="572"/>
      <c r="X29" s="572"/>
      <c r="Y29" s="572"/>
    </row>
  </sheetData>
  <mergeCells count="26">
    <mergeCell ref="U26:Y29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22:X2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Q34"/>
  <sheetViews>
    <sheetView topLeftCell="O7" zoomScale="110" zoomScaleNormal="110" workbookViewId="0">
      <selection activeCell="V42" sqref="V42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425781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479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7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2" t="s">
        <v>680</v>
      </c>
      <c r="O11" s="556" t="s">
        <v>643</v>
      </c>
      <c r="P11" s="27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479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172" t="s">
        <v>68</v>
      </c>
      <c r="B13" s="172" t="s">
        <v>26</v>
      </c>
      <c r="C13" s="178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172" t="s">
        <v>69</v>
      </c>
      <c r="B14" s="180"/>
      <c r="C14" s="178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171" t="s">
        <v>138</v>
      </c>
      <c r="B15" s="145" t="s">
        <v>362</v>
      </c>
      <c r="C15" s="87" t="s">
        <v>479</v>
      </c>
      <c r="D15" s="101">
        <v>3</v>
      </c>
      <c r="E15" s="181">
        <v>0.33329999999999999</v>
      </c>
      <c r="F15" s="88">
        <v>42185</v>
      </c>
      <c r="G15" s="90">
        <v>36</v>
      </c>
      <c r="H15" s="201">
        <f t="shared" ref="H15:H19" si="0">100/G15</f>
        <v>2.7777777777777777</v>
      </c>
      <c r="I15" s="233">
        <f>H15*J15</f>
        <v>38.888888888888886</v>
      </c>
      <c r="J15" s="90">
        <f>(YEAR(F15)-YEAR(S15))*12+MONTH(F15)-MONTH(S15)</f>
        <v>14</v>
      </c>
      <c r="K15" s="233">
        <f t="shared" ref="K15:K19" si="1">L15*H15</f>
        <v>61.111111111111107</v>
      </c>
      <c r="L15" s="90">
        <f t="shared" ref="L15:L19" si="2">G15-J15</f>
        <v>22</v>
      </c>
      <c r="M15" s="233">
        <f t="shared" ref="M15:M19" si="3">N15*H15</f>
        <v>19.444444444444443</v>
      </c>
      <c r="N15" s="90">
        <v>7</v>
      </c>
      <c r="O15" s="233">
        <f t="shared" ref="O15:O19" si="4">P15*H15</f>
        <v>41.666666666666664</v>
      </c>
      <c r="P15" s="90">
        <f t="shared" ref="P15:P19" si="5">L15-N15</f>
        <v>15</v>
      </c>
      <c r="Q15" s="88">
        <v>42428</v>
      </c>
      <c r="R15" s="88" t="s">
        <v>700</v>
      </c>
      <c r="S15" s="182">
        <v>41758</v>
      </c>
      <c r="T15" s="183">
        <v>1392</v>
      </c>
      <c r="U15" s="89">
        <v>734.76</v>
      </c>
      <c r="V15" s="152">
        <v>193.3</v>
      </c>
      <c r="W15" s="233">
        <v>0</v>
      </c>
      <c r="X15" s="100">
        <v>115.958</v>
      </c>
      <c r="Y15" s="125">
        <v>112.88800000000001</v>
      </c>
      <c r="Z15" s="100">
        <f>X15/Y15</f>
        <v>1.0271950960243781</v>
      </c>
      <c r="AA15" s="98">
        <f>U15*M15/100/K15*100/7</f>
        <v>33.398181818181811</v>
      </c>
      <c r="AB15" s="98">
        <f>AA15*Z15</f>
        <v>34.306448579766901</v>
      </c>
      <c r="AC15" s="98"/>
      <c r="AD15" s="98"/>
      <c r="AE15" s="98"/>
      <c r="AF15" s="98"/>
      <c r="AG15" s="98"/>
      <c r="AH15" s="98">
        <v>34.31</v>
      </c>
      <c r="AI15" s="98">
        <v>34.31</v>
      </c>
      <c r="AJ15" s="98">
        <v>34.31</v>
      </c>
      <c r="AK15" s="98">
        <v>34.31</v>
      </c>
      <c r="AL15" s="98">
        <v>34.31</v>
      </c>
      <c r="AM15" s="98">
        <v>34.31</v>
      </c>
      <c r="AN15" s="98">
        <v>34.31</v>
      </c>
      <c r="AO15" s="98">
        <f>SUM(AC15:AN15)</f>
        <v>240.17000000000002</v>
      </c>
      <c r="AP15" s="116">
        <f>U15-AO15</f>
        <v>494.59</v>
      </c>
      <c r="AQ15" s="168"/>
    </row>
    <row r="16" spans="1:43" s="22" customFormat="1" x14ac:dyDescent="0.2">
      <c r="A16" s="171" t="s">
        <v>138</v>
      </c>
      <c r="B16" s="145" t="s">
        <v>363</v>
      </c>
      <c r="C16" s="87" t="s">
        <v>479</v>
      </c>
      <c r="D16" s="101">
        <v>3</v>
      </c>
      <c r="E16" s="181">
        <v>0.33329999999999999</v>
      </c>
      <c r="F16" s="88">
        <v>42185</v>
      </c>
      <c r="G16" s="90">
        <v>36</v>
      </c>
      <c r="H16" s="201">
        <f t="shared" si="0"/>
        <v>2.7777777777777777</v>
      </c>
      <c r="I16" s="233">
        <f>H16*J16</f>
        <v>38.888888888888886</v>
      </c>
      <c r="J16" s="90">
        <f>(YEAR(F16)-YEAR(S16))*12+MONTH(F16)-MONTH(S16)</f>
        <v>14</v>
      </c>
      <c r="K16" s="233">
        <f t="shared" si="1"/>
        <v>61.111111111111107</v>
      </c>
      <c r="L16" s="90">
        <f t="shared" si="2"/>
        <v>22</v>
      </c>
      <c r="M16" s="233">
        <f t="shared" si="3"/>
        <v>19.444444444444443</v>
      </c>
      <c r="N16" s="90">
        <v>7</v>
      </c>
      <c r="O16" s="233">
        <f t="shared" si="4"/>
        <v>41.666666666666664</v>
      </c>
      <c r="P16" s="90">
        <f t="shared" si="5"/>
        <v>15</v>
      </c>
      <c r="Q16" s="90"/>
      <c r="R16" s="171" t="s">
        <v>701</v>
      </c>
      <c r="S16" s="182">
        <v>41758</v>
      </c>
      <c r="T16" s="183">
        <v>5486.8</v>
      </c>
      <c r="U16" s="18">
        <v>2896.06</v>
      </c>
      <c r="V16" s="152">
        <v>762</v>
      </c>
      <c r="W16" s="110"/>
      <c r="X16" s="100">
        <v>115.958</v>
      </c>
      <c r="Y16" s="125">
        <v>109.074</v>
      </c>
      <c r="Z16" s="100">
        <f>X16/Y16</f>
        <v>1.0631131158662925</v>
      </c>
      <c r="AA16" s="98">
        <f>U16*M16/100/K16*100/7</f>
        <v>131.63909090909092</v>
      </c>
      <c r="AB16" s="98">
        <f>AA16*Z16</f>
        <v>139.94724410616979</v>
      </c>
      <c r="AC16" s="98"/>
      <c r="AD16" s="98"/>
      <c r="AE16" s="98"/>
      <c r="AF16" s="98"/>
      <c r="AG16" s="98"/>
      <c r="AH16" s="98">
        <v>139.94999999999999</v>
      </c>
      <c r="AI16" s="98">
        <v>139.94999999999999</v>
      </c>
      <c r="AJ16" s="98">
        <v>139.94999999999999</v>
      </c>
      <c r="AK16" s="98">
        <v>139.94999999999999</v>
      </c>
      <c r="AL16" s="98">
        <v>139.94999999999999</v>
      </c>
      <c r="AM16" s="98">
        <v>139.94999999999999</v>
      </c>
      <c r="AN16" s="98">
        <v>139.94999999999999</v>
      </c>
      <c r="AO16" s="98">
        <f>SUM(AC16:AN16)</f>
        <v>979.65000000000009</v>
      </c>
      <c r="AP16" s="116">
        <f>U16-AO16</f>
        <v>1916.4099999999999</v>
      </c>
    </row>
    <row r="17" spans="1:42" s="22" customFormat="1" x14ac:dyDescent="0.2">
      <c r="A17" s="171" t="s">
        <v>138</v>
      </c>
      <c r="B17" s="145" t="s">
        <v>139</v>
      </c>
      <c r="C17" s="87" t="s">
        <v>479</v>
      </c>
      <c r="D17" s="101">
        <v>3</v>
      </c>
      <c r="E17" s="181">
        <v>0.33329999999999999</v>
      </c>
      <c r="F17" s="88">
        <v>42185</v>
      </c>
      <c r="G17" s="90">
        <v>36</v>
      </c>
      <c r="H17" s="201">
        <f t="shared" si="0"/>
        <v>2.7777777777777777</v>
      </c>
      <c r="I17" s="233">
        <f>H17*J17</f>
        <v>58.333333333333329</v>
      </c>
      <c r="J17" s="90">
        <f>(YEAR(F17)-YEAR(S17))*12+MONTH(F17)-MONTH(S17)</f>
        <v>21</v>
      </c>
      <c r="K17" s="233">
        <f t="shared" si="1"/>
        <v>41.666666666666664</v>
      </c>
      <c r="L17" s="90">
        <f t="shared" si="2"/>
        <v>15</v>
      </c>
      <c r="M17" s="233">
        <f t="shared" si="3"/>
        <v>19.444444444444443</v>
      </c>
      <c r="N17" s="90">
        <v>7</v>
      </c>
      <c r="O17" s="233">
        <f t="shared" si="4"/>
        <v>22.222222222222221</v>
      </c>
      <c r="P17" s="90">
        <f t="shared" si="5"/>
        <v>8</v>
      </c>
      <c r="Q17" s="90"/>
      <c r="R17" s="171" t="s">
        <v>700</v>
      </c>
      <c r="S17" s="182">
        <v>41518</v>
      </c>
      <c r="T17" s="183">
        <v>60.32</v>
      </c>
      <c r="U17" s="18">
        <v>26.76</v>
      </c>
      <c r="V17" s="152">
        <v>8.4</v>
      </c>
      <c r="W17" s="110"/>
      <c r="X17" s="100">
        <v>115.958</v>
      </c>
      <c r="Y17" s="125">
        <v>109.328</v>
      </c>
      <c r="Z17" s="100">
        <f>X17/Y17</f>
        <v>1.0606432021074199</v>
      </c>
      <c r="AA17" s="98">
        <f>U17*M17/100/K17*100/7</f>
        <v>1.7840000000000003</v>
      </c>
      <c r="AB17" s="98">
        <f>AA17*Z17</f>
        <v>1.8921874725596375</v>
      </c>
      <c r="AC17" s="98"/>
      <c r="AD17" s="98"/>
      <c r="AE17" s="98"/>
      <c r="AF17" s="98"/>
      <c r="AG17" s="98"/>
      <c r="AH17" s="98">
        <v>1.89</v>
      </c>
      <c r="AI17" s="98">
        <v>1.89</v>
      </c>
      <c r="AJ17" s="98">
        <v>1.89</v>
      </c>
      <c r="AK17" s="98">
        <v>1.89</v>
      </c>
      <c r="AL17" s="98">
        <v>1.89</v>
      </c>
      <c r="AM17" s="98">
        <v>1.89</v>
      </c>
      <c r="AN17" s="98">
        <v>1.89</v>
      </c>
      <c r="AO17" s="98">
        <f>SUM(AC17:AN17)</f>
        <v>13.23</v>
      </c>
      <c r="AP17" s="116">
        <f>U17-AO17</f>
        <v>13.530000000000001</v>
      </c>
    </row>
    <row r="18" spans="1:42" s="22" customFormat="1" x14ac:dyDescent="0.2">
      <c r="A18" s="171" t="s">
        <v>138</v>
      </c>
      <c r="B18" s="145" t="s">
        <v>486</v>
      </c>
      <c r="C18" s="87" t="s">
        <v>479</v>
      </c>
      <c r="D18" s="101">
        <v>3</v>
      </c>
      <c r="E18" s="181">
        <v>0.33329999999999999</v>
      </c>
      <c r="F18" s="88">
        <v>42185</v>
      </c>
      <c r="G18" s="90">
        <v>36</v>
      </c>
      <c r="H18" s="201">
        <f t="shared" si="0"/>
        <v>2.7777777777777777</v>
      </c>
      <c r="I18" s="233">
        <f>H18*J18</f>
        <v>58.333333333333329</v>
      </c>
      <c r="J18" s="90">
        <f>(YEAR(F18)-YEAR(S18))*12+MONTH(F18)-MONTH(S18)</f>
        <v>21</v>
      </c>
      <c r="K18" s="233">
        <f t="shared" si="1"/>
        <v>41.666666666666664</v>
      </c>
      <c r="L18" s="90">
        <f t="shared" si="2"/>
        <v>15</v>
      </c>
      <c r="M18" s="233">
        <f t="shared" si="3"/>
        <v>19.444444444444443</v>
      </c>
      <c r="N18" s="90">
        <v>7</v>
      </c>
      <c r="O18" s="233">
        <f t="shared" si="4"/>
        <v>22.222222222222221</v>
      </c>
      <c r="P18" s="90">
        <f t="shared" si="5"/>
        <v>8</v>
      </c>
      <c r="Q18" s="90"/>
      <c r="R18" s="171" t="s">
        <v>700</v>
      </c>
      <c r="S18" s="182">
        <v>41518</v>
      </c>
      <c r="T18" s="183">
        <v>116</v>
      </c>
      <c r="U18" s="89">
        <v>51.58</v>
      </c>
      <c r="V18" s="152">
        <v>16.100000000000001</v>
      </c>
      <c r="W18" s="233">
        <v>0</v>
      </c>
      <c r="X18" s="100">
        <v>115.958</v>
      </c>
      <c r="Y18" s="125">
        <v>109.328</v>
      </c>
      <c r="Z18" s="100">
        <f>X18/Y18</f>
        <v>1.0606432021074199</v>
      </c>
      <c r="AA18" s="98">
        <f>U18*M18/100/K18*100/7</f>
        <v>3.4386666666666663</v>
      </c>
      <c r="AB18" s="98">
        <f>AA18*Z18</f>
        <v>3.6471984243133808</v>
      </c>
      <c r="AC18" s="98"/>
      <c r="AD18" s="98"/>
      <c r="AE18" s="98"/>
      <c r="AF18" s="98"/>
      <c r="AG18" s="98"/>
      <c r="AH18" s="98">
        <v>3.65</v>
      </c>
      <c r="AI18" s="98">
        <v>3.65</v>
      </c>
      <c r="AJ18" s="98">
        <v>3.65</v>
      </c>
      <c r="AK18" s="98">
        <v>3.65</v>
      </c>
      <c r="AL18" s="98">
        <v>3.65</v>
      </c>
      <c r="AM18" s="98">
        <v>3.65</v>
      </c>
      <c r="AN18" s="98">
        <v>3.65</v>
      </c>
      <c r="AO18" s="98">
        <f>SUM(AC18:AN18)</f>
        <v>25.549999999999997</v>
      </c>
      <c r="AP18" s="116">
        <f>U18-AO18</f>
        <v>26.03</v>
      </c>
    </row>
    <row r="19" spans="1:42" s="22" customFormat="1" x14ac:dyDescent="0.2">
      <c r="A19" s="171" t="s">
        <v>138</v>
      </c>
      <c r="B19" s="145" t="s">
        <v>40</v>
      </c>
      <c r="C19" s="87" t="s">
        <v>479</v>
      </c>
      <c r="D19" s="101">
        <v>3</v>
      </c>
      <c r="E19" s="181">
        <v>0.33329999999999999</v>
      </c>
      <c r="F19" s="88">
        <v>42185</v>
      </c>
      <c r="G19" s="90">
        <v>36</v>
      </c>
      <c r="H19" s="201">
        <f t="shared" si="0"/>
        <v>2.7777777777777777</v>
      </c>
      <c r="I19" s="233">
        <f>H19*J19</f>
        <v>88.888888888888886</v>
      </c>
      <c r="J19" s="90">
        <f>(YEAR(F19)-YEAR(S19))*12+MONTH(F19)-MONTH(S19)</f>
        <v>32</v>
      </c>
      <c r="K19" s="233">
        <f t="shared" si="1"/>
        <v>11.111111111111111</v>
      </c>
      <c r="L19" s="90">
        <f t="shared" si="2"/>
        <v>4</v>
      </c>
      <c r="M19" s="233">
        <f t="shared" si="3"/>
        <v>19.444444444444443</v>
      </c>
      <c r="N19" s="90">
        <v>7</v>
      </c>
      <c r="O19" s="233">
        <f t="shared" si="4"/>
        <v>-8.3333333333333321</v>
      </c>
      <c r="P19" s="90">
        <f t="shared" si="5"/>
        <v>-3</v>
      </c>
      <c r="Q19" s="90"/>
      <c r="R19" s="90" t="s">
        <v>595</v>
      </c>
      <c r="S19" s="182">
        <v>41183</v>
      </c>
      <c r="T19" s="183">
        <v>550</v>
      </c>
      <c r="U19" s="89">
        <v>76.400000000000006</v>
      </c>
      <c r="V19" s="152">
        <v>76.400000000000006</v>
      </c>
      <c r="W19" s="233"/>
      <c r="X19" s="100">
        <v>115.958</v>
      </c>
      <c r="Y19" s="125">
        <v>106.27800000000001</v>
      </c>
      <c r="Z19" s="100">
        <f>X19/Y19</f>
        <v>1.091081879598788</v>
      </c>
      <c r="AA19" s="98">
        <f>U19*M19/100/K19*100/7</f>
        <v>19.100000000000001</v>
      </c>
      <c r="AB19" s="98">
        <f>AA19*Z19</f>
        <v>20.839663900336852</v>
      </c>
      <c r="AC19" s="98"/>
      <c r="AD19" s="98"/>
      <c r="AE19" s="98"/>
      <c r="AF19" s="98"/>
      <c r="AG19" s="98"/>
      <c r="AH19" s="98">
        <v>20.84</v>
      </c>
      <c r="AI19" s="98">
        <v>20.84</v>
      </c>
      <c r="AJ19" s="98">
        <v>20.84</v>
      </c>
      <c r="AK19" s="98">
        <v>12.88</v>
      </c>
      <c r="AL19" s="98">
        <v>0</v>
      </c>
      <c r="AM19" s="98">
        <v>0</v>
      </c>
      <c r="AN19" s="98">
        <v>0</v>
      </c>
      <c r="AO19" s="98">
        <f>SUM(AC19:AN19)</f>
        <v>75.399999999999991</v>
      </c>
      <c r="AP19" s="116">
        <f>U19-AO19</f>
        <v>1.0000000000000142</v>
      </c>
    </row>
    <row r="20" spans="1:42" s="22" customFormat="1" x14ac:dyDescent="0.2">
      <c r="A20" s="172" t="s">
        <v>364</v>
      </c>
      <c r="B20" s="172" t="s">
        <v>27</v>
      </c>
      <c r="C20" s="87"/>
      <c r="D20" s="101"/>
      <c r="E20" s="181"/>
      <c r="F20" s="88"/>
      <c r="G20" s="90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90"/>
      <c r="S20" s="182"/>
      <c r="T20" s="11"/>
      <c r="U20" s="89"/>
      <c r="V20" s="152"/>
      <c r="W20" s="233"/>
      <c r="X20" s="100"/>
      <c r="Y20" s="125"/>
      <c r="Z20" s="100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116"/>
    </row>
    <row r="21" spans="1:42" s="22" customFormat="1" x14ac:dyDescent="0.2">
      <c r="A21" s="172" t="s">
        <v>365</v>
      </c>
      <c r="B21" s="178"/>
      <c r="C21" s="178"/>
      <c r="D21" s="157"/>
      <c r="E21" s="157"/>
      <c r="F21" s="88"/>
      <c r="G21" s="90"/>
      <c r="H21" s="201"/>
      <c r="I21" s="233"/>
      <c r="J21" s="90"/>
      <c r="K21" s="233"/>
      <c r="L21" s="90"/>
      <c r="M21" s="233"/>
      <c r="N21" s="90"/>
      <c r="O21" s="233"/>
      <c r="P21" s="90"/>
      <c r="Q21" s="90"/>
      <c r="R21" s="90"/>
      <c r="S21" s="171"/>
      <c r="T21" s="11"/>
      <c r="U21" s="89"/>
      <c r="V21" s="152"/>
      <c r="W21" s="233"/>
      <c r="X21" s="100"/>
      <c r="Y21" s="127"/>
      <c r="Z21" s="100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116"/>
    </row>
    <row r="22" spans="1:42" s="22" customFormat="1" x14ac:dyDescent="0.2">
      <c r="A22" s="145" t="s">
        <v>143</v>
      </c>
      <c r="B22" s="145" t="s">
        <v>42</v>
      </c>
      <c r="C22" s="87" t="s">
        <v>479</v>
      </c>
      <c r="D22" s="12">
        <v>3</v>
      </c>
      <c r="E22" s="181">
        <v>0.33329999999999999</v>
      </c>
      <c r="F22" s="88">
        <v>42185</v>
      </c>
      <c r="G22" s="90">
        <v>36</v>
      </c>
      <c r="H22" s="201">
        <f t="shared" ref="H22" si="6">100/G22</f>
        <v>2.7777777777777777</v>
      </c>
      <c r="I22" s="233">
        <f>H22*J22</f>
        <v>86.111111111111114</v>
      </c>
      <c r="J22" s="90">
        <f>(YEAR(F22)-YEAR(S22))*12+MONTH(F22)-MONTH(S22)</f>
        <v>31</v>
      </c>
      <c r="K22" s="233">
        <f t="shared" ref="K22" si="7">L22*H22</f>
        <v>13.888888888888889</v>
      </c>
      <c r="L22" s="90">
        <f t="shared" ref="L22" si="8">G22-J22</f>
        <v>5</v>
      </c>
      <c r="M22" s="233">
        <f t="shared" ref="M22" si="9">N22*H22</f>
        <v>19.444444444444443</v>
      </c>
      <c r="N22" s="90">
        <v>7</v>
      </c>
      <c r="O22" s="233">
        <f t="shared" ref="O22" si="10">P22*H22</f>
        <v>-5.5555555555555554</v>
      </c>
      <c r="P22" s="90">
        <f t="shared" ref="P22" si="11">L22-N22</f>
        <v>-2</v>
      </c>
      <c r="Q22" s="90"/>
      <c r="R22" s="90" t="s">
        <v>702</v>
      </c>
      <c r="S22" s="182">
        <v>41214</v>
      </c>
      <c r="T22" s="183">
        <v>499</v>
      </c>
      <c r="U22" s="89">
        <v>83.21</v>
      </c>
      <c r="V22" s="152">
        <v>69.3</v>
      </c>
      <c r="W22" s="233"/>
      <c r="X22" s="100">
        <v>115.958</v>
      </c>
      <c r="Y22" s="125">
        <v>107</v>
      </c>
      <c r="Z22" s="100">
        <f>X22/Y22</f>
        <v>1.0837196261682243</v>
      </c>
      <c r="AA22" s="98">
        <f>U22*M22/100/K22*100/7</f>
        <v>16.641999999999999</v>
      </c>
      <c r="AB22" s="98">
        <f>AA22*Z22</f>
        <v>18.035262018691586</v>
      </c>
      <c r="AC22" s="98"/>
      <c r="AD22" s="98"/>
      <c r="AE22" s="98"/>
      <c r="AF22" s="98"/>
      <c r="AG22" s="98"/>
      <c r="AH22" s="98">
        <v>18.04</v>
      </c>
      <c r="AI22" s="98">
        <v>18.04</v>
      </c>
      <c r="AJ22" s="98">
        <v>18.04</v>
      </c>
      <c r="AK22" s="98">
        <v>18.04</v>
      </c>
      <c r="AL22" s="98">
        <v>10.050000000000001</v>
      </c>
      <c r="AM22" s="98">
        <v>0</v>
      </c>
      <c r="AN22" s="98">
        <v>0</v>
      </c>
      <c r="AO22" s="98">
        <f>SUM(AC22:AN22)</f>
        <v>82.21</v>
      </c>
      <c r="AP22" s="116">
        <f>U22-AO22</f>
        <v>1</v>
      </c>
    </row>
    <row r="23" spans="1:42" s="22" customFormat="1" x14ac:dyDescent="0.2">
      <c r="A23" s="172" t="s">
        <v>68</v>
      </c>
      <c r="B23" s="172" t="s">
        <v>92</v>
      </c>
      <c r="C23" s="87"/>
      <c r="D23" s="101"/>
      <c r="E23" s="184"/>
      <c r="F23" s="88"/>
      <c r="G23" s="24"/>
      <c r="H23" s="201"/>
      <c r="I23" s="233"/>
      <c r="J23" s="90"/>
      <c r="K23" s="233"/>
      <c r="L23" s="90"/>
      <c r="M23" s="233"/>
      <c r="N23" s="90"/>
      <c r="O23" s="233"/>
      <c r="P23" s="90"/>
      <c r="Q23" s="90"/>
      <c r="R23" s="24"/>
      <c r="S23" s="182"/>
      <c r="T23" s="183"/>
      <c r="U23" s="18"/>
      <c r="V23" s="154"/>
      <c r="W23" s="233"/>
      <c r="X23" s="100"/>
      <c r="Y23" s="125"/>
      <c r="Z23" s="100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116"/>
    </row>
    <row r="24" spans="1:42" s="22" customFormat="1" x14ac:dyDescent="0.2">
      <c r="A24" s="172" t="s">
        <v>87</v>
      </c>
      <c r="B24" s="145"/>
      <c r="C24" s="87"/>
      <c r="D24" s="12"/>
      <c r="E24" s="184"/>
      <c r="F24" s="88"/>
      <c r="G24" s="24"/>
      <c r="H24" s="201"/>
      <c r="I24" s="233"/>
      <c r="J24" s="90"/>
      <c r="K24" s="233"/>
      <c r="L24" s="90"/>
      <c r="M24" s="233"/>
      <c r="N24" s="90"/>
      <c r="O24" s="233"/>
      <c r="P24" s="90"/>
      <c r="Q24" s="90"/>
      <c r="R24" s="24"/>
      <c r="S24" s="182"/>
      <c r="T24" s="183"/>
      <c r="U24" s="18"/>
      <c r="V24" s="154"/>
      <c r="W24" s="233"/>
      <c r="X24" s="100"/>
      <c r="Y24" s="125"/>
      <c r="Z24" s="100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116"/>
    </row>
    <row r="25" spans="1:42" s="22" customFormat="1" x14ac:dyDescent="0.2">
      <c r="A25" s="171" t="s">
        <v>140</v>
      </c>
      <c r="B25" s="145" t="s">
        <v>480</v>
      </c>
      <c r="C25" s="87" t="s">
        <v>479</v>
      </c>
      <c r="D25" s="12">
        <v>10</v>
      </c>
      <c r="E25" s="184">
        <v>0.1</v>
      </c>
      <c r="F25" s="88">
        <v>42185</v>
      </c>
      <c r="G25" s="90">
        <v>120</v>
      </c>
      <c r="H25" s="201">
        <f t="shared" ref="H25" si="12">100/G25</f>
        <v>0.83333333333333337</v>
      </c>
      <c r="I25" s="233">
        <f>H25*J25</f>
        <v>25</v>
      </c>
      <c r="J25" s="90">
        <f>(YEAR(F25)-YEAR(S25))*12+MONTH(F25)-MONTH(S25)</f>
        <v>30</v>
      </c>
      <c r="K25" s="233">
        <f t="shared" ref="K25" si="13">L25*H25</f>
        <v>75</v>
      </c>
      <c r="L25" s="90">
        <f t="shared" ref="L25" si="14">G25-J25</f>
        <v>90</v>
      </c>
      <c r="M25" s="233">
        <f t="shared" ref="M25" si="15">N25*H25</f>
        <v>5.8333333333333339</v>
      </c>
      <c r="N25" s="90">
        <v>7</v>
      </c>
      <c r="O25" s="233">
        <f t="shared" ref="O25" si="16">P25*H25</f>
        <v>69.166666666666671</v>
      </c>
      <c r="P25" s="90">
        <f t="shared" ref="P25" si="17">L25-N25</f>
        <v>83</v>
      </c>
      <c r="Q25" s="90"/>
      <c r="R25" s="90" t="s">
        <v>595</v>
      </c>
      <c r="S25" s="182">
        <v>41244</v>
      </c>
      <c r="T25" s="183">
        <v>325</v>
      </c>
      <c r="U25" s="89">
        <v>246.44</v>
      </c>
      <c r="V25" s="152">
        <v>13.55</v>
      </c>
      <c r="W25" s="233"/>
      <c r="X25" s="100">
        <v>115.958</v>
      </c>
      <c r="Y25" s="125">
        <v>107.246</v>
      </c>
      <c r="Z25" s="100">
        <f>X25/Y25</f>
        <v>1.0812337989295639</v>
      </c>
      <c r="AA25" s="98">
        <f>U25*M25/100/K25*100/7</f>
        <v>2.7382222222222223</v>
      </c>
      <c r="AB25" s="98">
        <f>AA25*Z25</f>
        <v>2.960658415646686</v>
      </c>
      <c r="AC25" s="98"/>
      <c r="AD25" s="98"/>
      <c r="AE25" s="98"/>
      <c r="AF25" s="98"/>
      <c r="AG25" s="98"/>
      <c r="AH25" s="98">
        <v>2.96</v>
      </c>
      <c r="AI25" s="98">
        <v>2.96</v>
      </c>
      <c r="AJ25" s="98">
        <v>2.96</v>
      </c>
      <c r="AK25" s="98">
        <v>2.96</v>
      </c>
      <c r="AL25" s="98">
        <v>2.96</v>
      </c>
      <c r="AM25" s="98">
        <v>2.96</v>
      </c>
      <c r="AN25" s="98">
        <v>2.96</v>
      </c>
      <c r="AO25" s="98">
        <f>SUM(AC25:AN25)</f>
        <v>20.720000000000002</v>
      </c>
      <c r="AP25" s="116">
        <f>U25-AO25</f>
        <v>225.72</v>
      </c>
    </row>
    <row r="26" spans="1:42" s="22" customFormat="1" x14ac:dyDescent="0.2">
      <c r="A26" s="172" t="s">
        <v>68</v>
      </c>
      <c r="B26" s="172" t="s">
        <v>93</v>
      </c>
      <c r="C26" s="87"/>
      <c r="D26" s="101"/>
      <c r="E26" s="184"/>
      <c r="F26" s="88"/>
      <c r="G26" s="24"/>
      <c r="H26" s="201"/>
      <c r="I26" s="90"/>
      <c r="J26" s="90"/>
      <c r="K26" s="90"/>
      <c r="L26" s="90"/>
      <c r="M26" s="90"/>
      <c r="N26" s="90"/>
      <c r="O26" s="90"/>
      <c r="P26" s="90"/>
      <c r="Q26" s="90"/>
      <c r="R26" s="24"/>
      <c r="S26" s="182"/>
      <c r="T26" s="183"/>
      <c r="U26" s="18"/>
      <c r="V26" s="154"/>
      <c r="W26" s="233"/>
      <c r="X26" s="100"/>
      <c r="Y26" s="125"/>
      <c r="Z26" s="100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116"/>
    </row>
    <row r="27" spans="1:42" s="22" customFormat="1" x14ac:dyDescent="0.2">
      <c r="A27" s="172" t="s">
        <v>82</v>
      </c>
      <c r="B27" s="145"/>
      <c r="C27" s="87"/>
      <c r="D27" s="101"/>
      <c r="E27" s="184"/>
      <c r="F27" s="88"/>
      <c r="G27" s="24"/>
      <c r="H27" s="201"/>
      <c r="I27" s="233"/>
      <c r="J27" s="90"/>
      <c r="K27" s="233"/>
      <c r="L27" s="90"/>
      <c r="M27" s="233"/>
      <c r="N27" s="90"/>
      <c r="O27" s="233"/>
      <c r="P27" s="90"/>
      <c r="Q27" s="24"/>
      <c r="R27" s="24"/>
      <c r="S27" s="182"/>
      <c r="T27" s="183"/>
      <c r="U27" s="18"/>
      <c r="V27" s="154"/>
      <c r="W27" s="110"/>
      <c r="X27" s="100"/>
      <c r="Y27" s="125"/>
      <c r="Z27" s="100"/>
      <c r="AA27" s="98"/>
      <c r="AB27" s="98"/>
      <c r="AC27" s="109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116"/>
    </row>
    <row r="28" spans="1:42" s="22" customFormat="1" x14ac:dyDescent="0.2">
      <c r="A28" s="171" t="s">
        <v>141</v>
      </c>
      <c r="B28" s="145" t="s">
        <v>142</v>
      </c>
      <c r="C28" s="87" t="s">
        <v>479</v>
      </c>
      <c r="D28" s="101">
        <v>3</v>
      </c>
      <c r="E28" s="181">
        <v>0.33329999999999999</v>
      </c>
      <c r="F28" s="88">
        <v>42185</v>
      </c>
      <c r="G28" s="90">
        <v>36</v>
      </c>
      <c r="H28" s="201">
        <f t="shared" ref="H28" si="18">100/G28</f>
        <v>2.7777777777777777</v>
      </c>
      <c r="I28" s="233">
        <f>H28*J28</f>
        <v>75</v>
      </c>
      <c r="J28" s="90">
        <f>(YEAR(F28)-YEAR(S28))*12+MONTH(F28)-MONTH(S28)</f>
        <v>27</v>
      </c>
      <c r="K28" s="233">
        <f t="shared" ref="K28" si="19">L28*H28</f>
        <v>25</v>
      </c>
      <c r="L28" s="90">
        <f t="shared" ref="L28" si="20">G28-J28</f>
        <v>9</v>
      </c>
      <c r="M28" s="233">
        <f t="shared" ref="M28" si="21">N28*H28</f>
        <v>19.444444444444443</v>
      </c>
      <c r="N28" s="90">
        <v>7</v>
      </c>
      <c r="O28" s="233">
        <f t="shared" ref="O28" si="22">P28*H28</f>
        <v>5.5555555555555554</v>
      </c>
      <c r="P28" s="90">
        <f t="shared" ref="P28" si="23">L28-N28</f>
        <v>2</v>
      </c>
      <c r="Q28" s="90"/>
      <c r="R28" s="90" t="s">
        <v>595</v>
      </c>
      <c r="S28" s="182">
        <v>41334</v>
      </c>
      <c r="T28" s="183">
        <v>600</v>
      </c>
      <c r="U28" s="89">
        <v>166.66</v>
      </c>
      <c r="V28" s="152">
        <v>83.35</v>
      </c>
      <c r="W28" s="110"/>
      <c r="X28" s="100">
        <v>115.958</v>
      </c>
      <c r="Y28" s="125">
        <v>109.002</v>
      </c>
      <c r="Z28" s="100">
        <f>X28/Y28</f>
        <v>1.0638153428377461</v>
      </c>
      <c r="AA28" s="98">
        <f>U28*M28/100/K28*100/7</f>
        <v>18.517777777777777</v>
      </c>
      <c r="AB28" s="98">
        <f>AA28*Z28</f>
        <v>19.699496115259862</v>
      </c>
      <c r="AC28" s="98"/>
      <c r="AD28" s="98"/>
      <c r="AE28" s="98"/>
      <c r="AF28" s="98"/>
      <c r="AG28" s="98"/>
      <c r="AH28" s="98">
        <v>19.7</v>
      </c>
      <c r="AI28" s="98">
        <v>19.7</v>
      </c>
      <c r="AJ28" s="98">
        <v>19.7</v>
      </c>
      <c r="AK28" s="98">
        <v>19.7</v>
      </c>
      <c r="AL28" s="98">
        <v>19.7</v>
      </c>
      <c r="AM28" s="98">
        <v>19.7</v>
      </c>
      <c r="AN28" s="98">
        <v>19.7</v>
      </c>
      <c r="AO28" s="98">
        <f>SUM(AC28:AN28)</f>
        <v>137.9</v>
      </c>
      <c r="AP28" s="116">
        <f>U28-AO28</f>
        <v>28.759999999999991</v>
      </c>
    </row>
    <row r="29" spans="1:42" x14ac:dyDescent="0.2">
      <c r="R29" s="243"/>
      <c r="V29" s="263"/>
      <c r="AB29" s="263"/>
      <c r="AH29" s="263">
        <f t="shared" ref="AH29" si="24">SUM(AH15:AH28)</f>
        <v>241.33999999999997</v>
      </c>
      <c r="AI29" s="263"/>
      <c r="AJ29" s="263"/>
      <c r="AK29" s="263"/>
      <c r="AL29" s="263"/>
      <c r="AM29" s="263"/>
      <c r="AN29" s="263">
        <f t="shared" ref="AN29:AO29" si="25">SUM(AN15:AN28)</f>
        <v>202.45999999999998</v>
      </c>
      <c r="AO29" s="263">
        <f t="shared" si="25"/>
        <v>1574.8300000000004</v>
      </c>
      <c r="AP29" s="263">
        <f>SUM(AP15:AP28)</f>
        <v>2707.04</v>
      </c>
    </row>
    <row r="30" spans="1:42" s="150" customFormat="1" x14ac:dyDescent="0.2">
      <c r="A30" s="156" t="s">
        <v>460</v>
      </c>
      <c r="B30" s="132"/>
      <c r="C30" s="132"/>
      <c r="D30" s="133"/>
      <c r="E30" s="133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4"/>
      <c r="S30" s="134"/>
      <c r="T30" s="135"/>
      <c r="U30" s="135"/>
      <c r="W30"/>
      <c r="X30"/>
      <c r="Y30" s="121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 s="113"/>
    </row>
    <row r="31" spans="1:42" s="150" customFormat="1" x14ac:dyDescent="0.2">
      <c r="A31" s="14"/>
      <c r="B31"/>
      <c r="C31"/>
      <c r="D31" s="27"/>
      <c r="E31" s="27"/>
      <c r="F31"/>
      <c r="G31"/>
      <c r="H31"/>
      <c r="I31"/>
      <c r="J31"/>
      <c r="K31"/>
      <c r="L31"/>
      <c r="M31"/>
      <c r="N31"/>
      <c r="O31"/>
      <c r="P31"/>
      <c r="Q31"/>
      <c r="R31" s="28"/>
      <c r="S31" s="28"/>
      <c r="T31" s="16"/>
      <c r="U31" s="16"/>
      <c r="W31"/>
      <c r="X31"/>
      <c r="Y31" s="12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 s="113"/>
    </row>
    <row r="32" spans="1:42" ht="30.75" hidden="1" customHeight="1" x14ac:dyDescent="0.2">
      <c r="A32" s="568" t="s">
        <v>613</v>
      </c>
      <c r="B32" s="568"/>
      <c r="C32" s="568"/>
      <c r="D32" s="568"/>
      <c r="E32" s="568"/>
      <c r="F32" s="568"/>
      <c r="G32" s="568"/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239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</row>
    <row r="33" spans="1:41" hidden="1" x14ac:dyDescent="0.2">
      <c r="A33" s="568"/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</row>
    <row r="34" spans="1:41" x14ac:dyDescent="0.2">
      <c r="AO34" s="374"/>
    </row>
  </sheetData>
  <mergeCells count="25"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32:X33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34"/>
  <sheetViews>
    <sheetView topLeftCell="N10" zoomScale="110" zoomScaleNormal="110" workbookViewId="0">
      <selection activeCell="V31" sqref="V31:Z34"/>
    </sheetView>
  </sheetViews>
  <sheetFormatPr baseColWidth="10" defaultRowHeight="12.75" x14ac:dyDescent="0.2"/>
  <cols>
    <col min="1" max="1" width="27.5703125" customWidth="1"/>
    <col min="2" max="2" width="35.7109375" customWidth="1"/>
    <col min="3" max="3" width="19.7109375" customWidth="1"/>
    <col min="4" max="4" width="6.7109375" style="27" customWidth="1"/>
    <col min="5" max="5" width="7.42578125" style="27" customWidth="1"/>
    <col min="6" max="6" width="9.7109375" customWidth="1"/>
    <col min="7" max="14" width="8.5703125" customWidth="1"/>
    <col min="15" max="15" width="8.42578125" customWidth="1"/>
    <col min="16" max="16" width="8.5703125" customWidth="1"/>
    <col min="17" max="17" width="11" hidden="1" customWidth="1"/>
    <col min="18" max="18" width="11.5703125" style="28" customWidth="1"/>
    <col min="19" max="19" width="9.5703125" style="28" customWidth="1"/>
    <col min="20" max="21" width="8.42578125" style="16" customWidth="1"/>
    <col min="22" max="22" width="10.140625" style="150" customWidth="1"/>
    <col min="23" max="23" width="8.7109375" hidden="1" customWidth="1"/>
    <col min="24" max="24" width="8.7109375" customWidth="1"/>
    <col min="25" max="25" width="8.7109375" style="121" customWidth="1"/>
    <col min="26" max="26" width="7.42578125" customWidth="1"/>
    <col min="27" max="28" width="10.42578125" customWidth="1"/>
    <col min="29" max="33" width="7.7109375" hidden="1" customWidth="1"/>
    <col min="34" max="34" width="11.28515625" hidden="1" customWidth="1"/>
    <col min="35" max="36" width="7.7109375" hidden="1" customWidth="1"/>
    <col min="37" max="37" width="8.5703125" hidden="1" customWidth="1"/>
    <col min="38" max="39" width="7.7109375" hidden="1" customWidth="1"/>
    <col min="40" max="40" width="7.7109375" customWidth="1"/>
    <col min="41" max="41" width="9.28515625" customWidth="1"/>
    <col min="42" max="42" width="10" style="113" customWidth="1"/>
    <col min="43" max="44" width="11.42578125" style="22"/>
  </cols>
  <sheetData>
    <row r="1" spans="1:43" x14ac:dyDescent="0.2">
      <c r="A1" s="137"/>
      <c r="B1" s="142" t="s">
        <v>29</v>
      </c>
      <c r="C1" s="137"/>
      <c r="D1" s="138"/>
      <c r="E1" s="138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6"/>
      <c r="S1" s="136"/>
      <c r="T1" s="137"/>
      <c r="U1" s="137"/>
      <c r="V1" s="147"/>
      <c r="W1" s="139"/>
      <c r="X1" s="139"/>
      <c r="Y1" s="140"/>
      <c r="Z1" s="139"/>
      <c r="AA1" s="139"/>
      <c r="AB1" s="139"/>
      <c r="AC1" s="139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9" t="s">
        <v>454</v>
      </c>
      <c r="AO1" s="137"/>
      <c r="AP1" s="141"/>
    </row>
    <row r="2" spans="1:43" x14ac:dyDescent="0.2">
      <c r="A2" s="137"/>
      <c r="B2" s="142" t="s">
        <v>612</v>
      </c>
      <c r="C2" s="137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6"/>
      <c r="S2" s="136"/>
      <c r="T2" s="137"/>
      <c r="U2" s="137"/>
      <c r="V2" s="147"/>
      <c r="W2" s="139"/>
      <c r="X2" s="139"/>
      <c r="Y2" s="140"/>
      <c r="Z2" s="139"/>
      <c r="AA2" s="139"/>
      <c r="AB2" s="139"/>
      <c r="AC2" s="139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41"/>
    </row>
    <row r="3" spans="1:43" x14ac:dyDescent="0.2">
      <c r="A3" s="137"/>
      <c r="B3" s="137"/>
      <c r="C3" s="142"/>
      <c r="D3" s="143"/>
      <c r="E3" s="138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2"/>
      <c r="S3" s="142"/>
      <c r="T3" s="144"/>
      <c r="U3" s="144"/>
      <c r="V3" s="148"/>
      <c r="W3" s="139"/>
      <c r="X3" s="139"/>
      <c r="Y3" s="140"/>
      <c r="Z3" s="139"/>
      <c r="AA3" s="139"/>
      <c r="AB3" s="139"/>
      <c r="AC3" s="139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41"/>
    </row>
    <row r="4" spans="1:43" x14ac:dyDescent="0.2">
      <c r="A4" s="137"/>
      <c r="B4" s="137" t="s">
        <v>452</v>
      </c>
      <c r="C4" s="142"/>
      <c r="D4" s="143"/>
      <c r="E4" s="138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2"/>
      <c r="S4" s="142"/>
      <c r="T4" s="144"/>
      <c r="U4" s="144"/>
      <c r="V4" s="148"/>
      <c r="W4" s="139"/>
      <c r="X4" s="139"/>
      <c r="Y4" s="140"/>
      <c r="Z4" s="139"/>
      <c r="AA4" s="139"/>
      <c r="AB4" s="139"/>
      <c r="AC4" s="139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41"/>
    </row>
    <row r="5" spans="1:43" x14ac:dyDescent="0.2">
      <c r="A5" s="137"/>
      <c r="B5" s="144" t="s">
        <v>472</v>
      </c>
      <c r="C5" s="137"/>
      <c r="D5" s="138"/>
      <c r="E5" s="138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6"/>
      <c r="S5" s="136"/>
      <c r="T5" s="137"/>
      <c r="U5" s="137"/>
      <c r="V5" s="147"/>
      <c r="W5" s="139"/>
      <c r="X5" s="139"/>
      <c r="Y5" s="140"/>
      <c r="Z5" s="139"/>
      <c r="AA5" s="139"/>
      <c r="AB5" s="139"/>
      <c r="AC5" s="139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41"/>
    </row>
    <row r="6" spans="1:43" x14ac:dyDescent="0.2">
      <c r="A6" s="137"/>
      <c r="B6" s="137" t="s">
        <v>453</v>
      </c>
      <c r="C6" s="137"/>
      <c r="D6" s="138"/>
      <c r="E6" s="138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6"/>
      <c r="S6" s="136"/>
      <c r="T6" s="137"/>
      <c r="U6" s="137"/>
      <c r="V6" s="147"/>
      <c r="W6" s="139"/>
      <c r="X6" s="139"/>
      <c r="Y6" s="140"/>
      <c r="Z6" s="139"/>
      <c r="AA6" s="139"/>
      <c r="AB6" s="139"/>
      <c r="AC6" s="139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41"/>
    </row>
    <row r="7" spans="1:43" x14ac:dyDescent="0.2">
      <c r="A7" s="137"/>
      <c r="B7" s="137"/>
      <c r="C7" s="137"/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6"/>
      <c r="S7" s="136"/>
      <c r="T7" s="137"/>
      <c r="U7" s="137"/>
      <c r="V7" s="147"/>
      <c r="W7" s="139"/>
      <c r="X7" s="139"/>
      <c r="Y7" s="140"/>
      <c r="Z7" s="139"/>
      <c r="AA7" s="139"/>
      <c r="AB7" s="139"/>
      <c r="AC7" s="139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41"/>
    </row>
    <row r="8" spans="1:43" s="22" customFormat="1" x14ac:dyDescent="0.2">
      <c r="D8" s="80"/>
      <c r="E8" s="80"/>
      <c r="R8" s="79"/>
      <c r="S8" s="79"/>
      <c r="T8" s="56"/>
      <c r="U8" s="56"/>
      <c r="V8" s="149"/>
      <c r="W8" s="81"/>
      <c r="X8" s="81"/>
      <c r="Y8" s="120"/>
      <c r="Z8" s="81"/>
      <c r="AA8" s="81"/>
      <c r="AB8" s="81"/>
      <c r="AC8" s="81"/>
      <c r="AP8" s="112"/>
    </row>
    <row r="9" spans="1:43" s="22" customFormat="1" ht="20.25" customHeight="1" x14ac:dyDescent="0.2">
      <c r="D9" s="80"/>
      <c r="E9" s="80"/>
      <c r="R9" s="79"/>
      <c r="S9" s="79"/>
      <c r="T9" s="56"/>
      <c r="U9" s="56"/>
      <c r="V9" s="149"/>
      <c r="W9" s="81"/>
      <c r="X9" s="81"/>
      <c r="Y9" s="120"/>
      <c r="Z9" s="81"/>
      <c r="AA9" s="81"/>
      <c r="AB9" s="81"/>
      <c r="AC9" s="81"/>
      <c r="AP9" s="112"/>
    </row>
    <row r="10" spans="1:43" ht="36" customHeight="1" x14ac:dyDescent="0.2">
      <c r="D10" s="549" t="s">
        <v>683</v>
      </c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259"/>
      <c r="R10" s="550" t="s">
        <v>598</v>
      </c>
      <c r="S10" s="550"/>
      <c r="T10" s="550"/>
      <c r="U10" s="551" t="s">
        <v>600</v>
      </c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1"/>
      <c r="AG10" s="551"/>
      <c r="AH10" s="551"/>
      <c r="AI10" s="551"/>
      <c r="AJ10" s="551"/>
      <c r="AK10" s="551"/>
      <c r="AL10" s="551"/>
      <c r="AM10" s="551"/>
      <c r="AN10" s="551"/>
      <c r="AO10" s="551"/>
      <c r="AP10" s="551"/>
    </row>
    <row r="11" spans="1:43" ht="54" customHeight="1" x14ac:dyDescent="0.25">
      <c r="A11" s="552" t="s">
        <v>60</v>
      </c>
      <c r="B11" s="552" t="s">
        <v>0</v>
      </c>
      <c r="C11" s="273" t="s">
        <v>465</v>
      </c>
      <c r="D11" s="234" t="s">
        <v>449</v>
      </c>
      <c r="E11" s="554" t="s">
        <v>58</v>
      </c>
      <c r="F11" s="556" t="s">
        <v>715</v>
      </c>
      <c r="G11" s="556" t="s">
        <v>596</v>
      </c>
      <c r="H11" s="556" t="s">
        <v>684</v>
      </c>
      <c r="I11" s="556" t="s">
        <v>677</v>
      </c>
      <c r="J11" s="556" t="s">
        <v>676</v>
      </c>
      <c r="K11" s="556" t="s">
        <v>685</v>
      </c>
      <c r="L11" s="556" t="s">
        <v>644</v>
      </c>
      <c r="M11" s="556" t="s">
        <v>686</v>
      </c>
      <c r="N11" s="272" t="s">
        <v>680</v>
      </c>
      <c r="O11" s="556" t="s">
        <v>643</v>
      </c>
      <c r="P11" s="274" t="s">
        <v>681</v>
      </c>
      <c r="Q11" s="565" t="s">
        <v>679</v>
      </c>
      <c r="R11" s="561" t="s">
        <v>587</v>
      </c>
      <c r="S11" s="561" t="s">
        <v>59</v>
      </c>
      <c r="T11" s="563" t="s">
        <v>599</v>
      </c>
      <c r="U11" s="558" t="s">
        <v>597</v>
      </c>
      <c r="V11" s="570" t="s">
        <v>602</v>
      </c>
      <c r="W11" s="558" t="s">
        <v>589</v>
      </c>
      <c r="X11" s="226" t="s">
        <v>16</v>
      </c>
      <c r="Y11" s="227" t="s">
        <v>16</v>
      </c>
      <c r="Z11" s="226" t="s">
        <v>17</v>
      </c>
      <c r="AA11" s="558" t="s">
        <v>678</v>
      </c>
      <c r="AB11" s="558" t="s">
        <v>687</v>
      </c>
      <c r="AC11" s="226" t="s">
        <v>3</v>
      </c>
      <c r="AD11" s="226" t="s">
        <v>4</v>
      </c>
      <c r="AE11" s="226" t="s">
        <v>5</v>
      </c>
      <c r="AF11" s="226" t="s">
        <v>6</v>
      </c>
      <c r="AG11" s="226" t="s">
        <v>7</v>
      </c>
      <c r="AH11" s="226" t="s">
        <v>8</v>
      </c>
      <c r="AI11" s="226" t="s">
        <v>9</v>
      </c>
      <c r="AJ11" s="226" t="s">
        <v>10</v>
      </c>
      <c r="AK11" s="226" t="s">
        <v>11</v>
      </c>
      <c r="AL11" s="226" t="s">
        <v>12</v>
      </c>
      <c r="AM11" s="226" t="s">
        <v>13</v>
      </c>
      <c r="AN11" s="226" t="s">
        <v>14</v>
      </c>
      <c r="AO11" s="264" t="s">
        <v>682</v>
      </c>
      <c r="AP11" s="228" t="s">
        <v>66</v>
      </c>
    </row>
    <row r="12" spans="1:43" ht="32.25" customHeight="1" x14ac:dyDescent="0.25">
      <c r="A12" s="553"/>
      <c r="B12" s="553"/>
      <c r="C12" s="229" t="s">
        <v>471</v>
      </c>
      <c r="D12" s="235"/>
      <c r="E12" s="555"/>
      <c r="F12" s="557"/>
      <c r="G12" s="557"/>
      <c r="H12" s="557"/>
      <c r="I12" s="557"/>
      <c r="J12" s="557"/>
      <c r="K12" s="557"/>
      <c r="L12" s="557"/>
      <c r="M12" s="557"/>
      <c r="N12" s="262">
        <v>42369</v>
      </c>
      <c r="O12" s="557"/>
      <c r="P12" s="261">
        <v>42370</v>
      </c>
      <c r="Q12" s="566"/>
      <c r="R12" s="562" t="s">
        <v>19</v>
      </c>
      <c r="S12" s="562" t="s">
        <v>19</v>
      </c>
      <c r="T12" s="564"/>
      <c r="U12" s="569"/>
      <c r="V12" s="571">
        <v>41639</v>
      </c>
      <c r="W12" s="559"/>
      <c r="X12" s="230" t="s">
        <v>21</v>
      </c>
      <c r="Y12" s="231" t="s">
        <v>22</v>
      </c>
      <c r="Z12" s="230" t="s">
        <v>23</v>
      </c>
      <c r="AA12" s="559"/>
      <c r="AB12" s="559"/>
      <c r="AC12" s="230">
        <v>2015</v>
      </c>
      <c r="AD12" s="230">
        <v>2015</v>
      </c>
      <c r="AE12" s="230">
        <v>2015</v>
      </c>
      <c r="AF12" s="230">
        <v>2015</v>
      </c>
      <c r="AG12" s="230">
        <v>2015</v>
      </c>
      <c r="AH12" s="230">
        <v>2015</v>
      </c>
      <c r="AI12" s="230">
        <v>2015</v>
      </c>
      <c r="AJ12" s="230">
        <v>2015</v>
      </c>
      <c r="AK12" s="230">
        <v>2015</v>
      </c>
      <c r="AL12" s="230">
        <v>2015</v>
      </c>
      <c r="AM12" s="230">
        <v>2015</v>
      </c>
      <c r="AN12" s="230">
        <v>2015</v>
      </c>
      <c r="AO12" s="230">
        <v>2015</v>
      </c>
      <c r="AP12" s="230" t="s">
        <v>67</v>
      </c>
    </row>
    <row r="13" spans="1:43" s="22" customFormat="1" x14ac:dyDescent="0.2">
      <c r="A13" s="41" t="s">
        <v>68</v>
      </c>
      <c r="B13" s="41" t="s">
        <v>94</v>
      </c>
      <c r="C13" s="87"/>
      <c r="D13" s="42"/>
      <c r="E13" s="38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9"/>
      <c r="S13" s="29"/>
      <c r="T13" s="18"/>
      <c r="U13" s="18"/>
      <c r="V13" s="154"/>
      <c r="W13" s="110"/>
      <c r="X13" s="110"/>
      <c r="Y13" s="126"/>
      <c r="Z13" s="110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17"/>
    </row>
    <row r="14" spans="1:43" s="22" customFormat="1" x14ac:dyDescent="0.2">
      <c r="A14" s="41" t="s">
        <v>86</v>
      </c>
      <c r="B14" s="13"/>
      <c r="C14" s="47"/>
      <c r="D14" s="8"/>
      <c r="E14" s="38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9"/>
      <c r="S14" s="29"/>
      <c r="T14" s="18"/>
      <c r="U14" s="18"/>
      <c r="V14" s="154"/>
      <c r="W14" s="110"/>
      <c r="X14" s="110"/>
      <c r="Y14" s="158"/>
      <c r="Z14" s="110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7"/>
    </row>
    <row r="15" spans="1:43" s="22" customFormat="1" x14ac:dyDescent="0.2">
      <c r="A15" s="13" t="s">
        <v>133</v>
      </c>
      <c r="B15" s="13" t="s">
        <v>33</v>
      </c>
      <c r="C15" s="87" t="s">
        <v>474</v>
      </c>
      <c r="D15" s="101">
        <v>10</v>
      </c>
      <c r="E15" s="38">
        <v>0.1</v>
      </c>
      <c r="F15" s="88">
        <v>42185</v>
      </c>
      <c r="G15" s="90">
        <v>120</v>
      </c>
      <c r="H15" s="201">
        <f t="shared" ref="H15:H18" si="0">100/G15</f>
        <v>0.83333333333333337</v>
      </c>
      <c r="I15" s="233">
        <f>H15*J15</f>
        <v>24.166666666666668</v>
      </c>
      <c r="J15" s="90">
        <f>(YEAR(F15)-YEAR(S15))*12+MONTH(F15)-MONTH(S15)</f>
        <v>29</v>
      </c>
      <c r="K15" s="233">
        <f t="shared" ref="K15:K18" si="1">L15*H15</f>
        <v>75.833333333333343</v>
      </c>
      <c r="L15" s="90">
        <f t="shared" ref="L15:L18" si="2">G15-J15</f>
        <v>91</v>
      </c>
      <c r="M15" s="233">
        <f t="shared" ref="M15:M18" si="3">N15*H15</f>
        <v>5.8333333333333339</v>
      </c>
      <c r="N15" s="90">
        <v>7</v>
      </c>
      <c r="O15" s="233">
        <f t="shared" ref="O15:O18" si="4">P15*H15</f>
        <v>70</v>
      </c>
      <c r="P15" s="90">
        <f t="shared" ref="P15:P18" si="5">L15-N15</f>
        <v>84</v>
      </c>
      <c r="Q15" s="88">
        <v>42428</v>
      </c>
      <c r="R15" s="88" t="s">
        <v>700</v>
      </c>
      <c r="S15" s="52">
        <v>41275</v>
      </c>
      <c r="T15" s="183">
        <v>1392</v>
      </c>
      <c r="U15" s="89">
        <v>947.88</v>
      </c>
      <c r="V15" s="152">
        <v>52.1</v>
      </c>
      <c r="W15" s="233">
        <v>0</v>
      </c>
      <c r="X15" s="100">
        <v>115.958</v>
      </c>
      <c r="Y15" s="125">
        <v>112.88800000000001</v>
      </c>
      <c r="Z15" s="100">
        <f>X15/Y15</f>
        <v>1.0271950960243781</v>
      </c>
      <c r="AA15" s="98">
        <f>U15*M15/100/K15*100/7</f>
        <v>10.416263736263733</v>
      </c>
      <c r="AB15" s="98">
        <f>AA15*Z15</f>
        <v>10.699535028786674</v>
      </c>
      <c r="AC15" s="98"/>
      <c r="AD15" s="98"/>
      <c r="AE15" s="98"/>
      <c r="AF15" s="98"/>
      <c r="AG15" s="98"/>
      <c r="AH15" s="98">
        <v>10.7</v>
      </c>
      <c r="AI15" s="98">
        <v>10.7</v>
      </c>
      <c r="AJ15" s="98">
        <v>10.7</v>
      </c>
      <c r="AK15" s="98">
        <v>10.7</v>
      </c>
      <c r="AL15" s="98">
        <v>10.7</v>
      </c>
      <c r="AM15" s="98">
        <v>10.7</v>
      </c>
      <c r="AN15" s="98">
        <v>10.7</v>
      </c>
      <c r="AO15" s="98">
        <f>SUM(AC15:AN15)</f>
        <v>74.900000000000006</v>
      </c>
      <c r="AP15" s="116">
        <f>U15-AO15</f>
        <v>872.98</v>
      </c>
      <c r="AQ15" s="168"/>
    </row>
    <row r="16" spans="1:43" s="22" customFormat="1" x14ac:dyDescent="0.2">
      <c r="A16" s="41" t="s">
        <v>364</v>
      </c>
      <c r="B16" s="41" t="s">
        <v>27</v>
      </c>
      <c r="C16" s="41"/>
      <c r="D16" s="101"/>
      <c r="E16" s="38"/>
      <c r="F16" s="88"/>
      <c r="G16" s="90"/>
      <c r="H16" s="201"/>
      <c r="I16" s="233"/>
      <c r="J16" s="90"/>
      <c r="K16" s="233"/>
      <c r="L16" s="90"/>
      <c r="M16" s="233"/>
      <c r="N16" s="90"/>
      <c r="O16" s="233"/>
      <c r="P16" s="90"/>
      <c r="Q16" s="90"/>
      <c r="R16" s="171"/>
      <c r="S16" s="30"/>
      <c r="T16" s="183"/>
      <c r="U16" s="18"/>
      <c r="V16" s="152"/>
      <c r="W16" s="110"/>
      <c r="X16" s="100"/>
      <c r="Y16" s="125"/>
      <c r="Z16" s="100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116"/>
    </row>
    <row r="17" spans="1:44" s="22" customFormat="1" x14ac:dyDescent="0.2">
      <c r="A17" s="41" t="s">
        <v>365</v>
      </c>
      <c r="B17" s="47"/>
      <c r="C17" s="47"/>
      <c r="D17" s="101"/>
      <c r="E17" s="38"/>
      <c r="F17" s="88"/>
      <c r="G17" s="90"/>
      <c r="H17" s="201"/>
      <c r="I17" s="233"/>
      <c r="J17" s="90"/>
      <c r="K17" s="233"/>
      <c r="L17" s="90"/>
      <c r="M17" s="233"/>
      <c r="N17" s="90"/>
      <c r="O17" s="233"/>
      <c r="P17" s="90"/>
      <c r="Q17" s="90"/>
      <c r="R17" s="171"/>
      <c r="S17" s="29"/>
      <c r="T17" s="183"/>
      <c r="U17" s="18"/>
      <c r="V17" s="152"/>
      <c r="W17" s="110"/>
      <c r="X17" s="100"/>
      <c r="Y17" s="125"/>
      <c r="Z17" s="100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116"/>
    </row>
    <row r="18" spans="1:44" s="22" customFormat="1" x14ac:dyDescent="0.2">
      <c r="A18" s="145" t="s">
        <v>475</v>
      </c>
      <c r="B18" s="87" t="s">
        <v>476</v>
      </c>
      <c r="C18" s="87" t="s">
        <v>477</v>
      </c>
      <c r="D18" s="101">
        <v>36</v>
      </c>
      <c r="E18" s="38">
        <v>0.33329999999999999</v>
      </c>
      <c r="F18" s="88">
        <v>42185</v>
      </c>
      <c r="G18" s="90">
        <v>36</v>
      </c>
      <c r="H18" s="201">
        <f t="shared" si="0"/>
        <v>2.7777777777777777</v>
      </c>
      <c r="I18" s="233">
        <f>H18*J18</f>
        <v>80.555555555555557</v>
      </c>
      <c r="J18" s="90">
        <f>(YEAR(F18)-YEAR(S18))*12+MONTH(F18)-MONTH(S18)</f>
        <v>29</v>
      </c>
      <c r="K18" s="233">
        <f t="shared" si="1"/>
        <v>19.444444444444443</v>
      </c>
      <c r="L18" s="90">
        <f t="shared" si="2"/>
        <v>7</v>
      </c>
      <c r="M18" s="233">
        <f t="shared" si="3"/>
        <v>19.444444444444443</v>
      </c>
      <c r="N18" s="90">
        <v>7</v>
      </c>
      <c r="O18" s="233">
        <f t="shared" si="4"/>
        <v>0</v>
      </c>
      <c r="P18" s="90">
        <f t="shared" si="5"/>
        <v>0</v>
      </c>
      <c r="Q18" s="90"/>
      <c r="R18" s="171" t="s">
        <v>700</v>
      </c>
      <c r="S18" s="88">
        <v>41277</v>
      </c>
      <c r="T18" s="183">
        <v>116</v>
      </c>
      <c r="U18" s="89">
        <v>389.05</v>
      </c>
      <c r="V18" s="152">
        <v>277.75</v>
      </c>
      <c r="W18" s="233">
        <v>0</v>
      </c>
      <c r="X18" s="100">
        <v>115.958</v>
      </c>
      <c r="Y18" s="125">
        <v>109.328</v>
      </c>
      <c r="Z18" s="100">
        <f>X18/Y18</f>
        <v>1.0606432021074199</v>
      </c>
      <c r="AA18" s="98">
        <f>U18*M18/100/K18*100/7</f>
        <v>55.578571428571429</v>
      </c>
      <c r="AB18" s="98">
        <f>AA18*Z18</f>
        <v>58.949033968555959</v>
      </c>
      <c r="AC18" s="98"/>
      <c r="AD18" s="98"/>
      <c r="AE18" s="98"/>
      <c r="AF18" s="98"/>
      <c r="AG18" s="98"/>
      <c r="AH18" s="98">
        <v>58.95</v>
      </c>
      <c r="AI18" s="98">
        <v>58.95</v>
      </c>
      <c r="AJ18" s="98">
        <v>58.95</v>
      </c>
      <c r="AK18" s="98">
        <v>58.95</v>
      </c>
      <c r="AL18" s="98">
        <v>58.95</v>
      </c>
      <c r="AM18" s="98">
        <v>58.95</v>
      </c>
      <c r="AN18" s="98">
        <v>34.35</v>
      </c>
      <c r="AO18" s="98">
        <f>SUM(AC18:AN18)</f>
        <v>388.05</v>
      </c>
      <c r="AP18" s="116">
        <f>U18-AO18</f>
        <v>1</v>
      </c>
    </row>
    <row r="19" spans="1:44" s="22" customFormat="1" x14ac:dyDescent="0.2">
      <c r="A19" s="172" t="s">
        <v>690</v>
      </c>
      <c r="B19" s="172"/>
      <c r="C19" s="87"/>
      <c r="D19" s="42"/>
      <c r="E19" s="38"/>
      <c r="F19" s="88"/>
      <c r="G19" s="24"/>
      <c r="H19" s="201"/>
      <c r="I19" s="233"/>
      <c r="J19" s="90"/>
      <c r="K19" s="233"/>
      <c r="L19" s="90"/>
      <c r="M19" s="233"/>
      <c r="N19" s="90"/>
      <c r="O19" s="233"/>
      <c r="P19" s="90"/>
      <c r="Q19" s="24"/>
      <c r="R19" s="24"/>
      <c r="S19" s="29"/>
      <c r="T19" s="18"/>
      <c r="U19" s="18"/>
      <c r="V19" s="154"/>
      <c r="W19" s="110"/>
      <c r="X19" s="100"/>
      <c r="Y19" s="125"/>
      <c r="Z19" s="100"/>
      <c r="AA19" s="98"/>
      <c r="AB19" s="98"/>
      <c r="AC19" s="109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116"/>
    </row>
    <row r="20" spans="1:44" s="22" customFormat="1" x14ac:dyDescent="0.2">
      <c r="A20" s="172" t="s">
        <v>87</v>
      </c>
      <c r="B20" s="145"/>
      <c r="C20" s="87"/>
      <c r="D20" s="8"/>
      <c r="E20" s="38"/>
      <c r="F20" s="88"/>
      <c r="G20" s="24"/>
      <c r="H20" s="201"/>
      <c r="I20" s="233"/>
      <c r="J20" s="90"/>
      <c r="K20" s="233"/>
      <c r="L20" s="90"/>
      <c r="M20" s="233"/>
      <c r="N20" s="90"/>
      <c r="O20" s="233"/>
      <c r="P20" s="90"/>
      <c r="Q20" s="90"/>
      <c r="R20" s="24"/>
      <c r="S20" s="29"/>
      <c r="T20" s="18"/>
      <c r="U20" s="18"/>
      <c r="V20" s="154"/>
      <c r="W20" s="110"/>
      <c r="X20" s="110"/>
      <c r="Y20" s="125"/>
      <c r="Z20" s="110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116"/>
    </row>
    <row r="21" spans="1:44" s="449" customFormat="1" x14ac:dyDescent="0.2">
      <c r="A21" s="434" t="s">
        <v>867</v>
      </c>
      <c r="B21" s="434" t="s">
        <v>865</v>
      </c>
      <c r="C21" s="450" t="s">
        <v>477</v>
      </c>
      <c r="D21" s="435">
        <v>10</v>
      </c>
      <c r="E21" s="451">
        <v>0.1</v>
      </c>
      <c r="F21" s="437">
        <v>42335</v>
      </c>
      <c r="G21" s="438">
        <v>120</v>
      </c>
      <c r="H21" s="439">
        <f>100/G21</f>
        <v>0.83333333333333337</v>
      </c>
      <c r="I21" s="440">
        <f>H21*J21</f>
        <v>0</v>
      </c>
      <c r="J21" s="438">
        <f>(YEAR(F21)-YEAR(S21))*12+MONTH(F21)-MONTH(S21)</f>
        <v>0</v>
      </c>
      <c r="K21" s="440">
        <f>L21*H21</f>
        <v>100</v>
      </c>
      <c r="L21" s="438">
        <f>G21-J21</f>
        <v>120</v>
      </c>
      <c r="M21" s="440">
        <f>N21*H21</f>
        <v>0.83333333333333337</v>
      </c>
      <c r="N21" s="438">
        <v>1</v>
      </c>
      <c r="O21" s="440">
        <f>P21*H21</f>
        <v>99.166666666666671</v>
      </c>
      <c r="P21" s="438">
        <f t="shared" ref="P21" si="6">L21-N21</f>
        <v>119</v>
      </c>
      <c r="Q21" s="438">
        <f>M21-O21</f>
        <v>-98.333333333333343</v>
      </c>
      <c r="R21" s="438">
        <v>4658</v>
      </c>
      <c r="S21" s="437">
        <v>42335</v>
      </c>
      <c r="T21" s="443">
        <v>734</v>
      </c>
      <c r="U21" s="445">
        <v>0</v>
      </c>
      <c r="V21" s="447">
        <v>0</v>
      </c>
      <c r="W21" s="447">
        <v>118.051</v>
      </c>
      <c r="X21" s="445">
        <v>115.958</v>
      </c>
      <c r="Y21" s="447">
        <v>118.051</v>
      </c>
      <c r="Z21" s="445">
        <f>X21/Y21</f>
        <v>0.98227037466857536</v>
      </c>
      <c r="AA21" s="447">
        <f>H21*T21/100</f>
        <v>6.1166666666666671</v>
      </c>
      <c r="AB21" s="447">
        <f>AA21*Z21</f>
        <v>6.0082204583894532</v>
      </c>
      <c r="AC21" s="447"/>
      <c r="AD21" s="447"/>
      <c r="AE21" s="447"/>
      <c r="AF21" s="447"/>
      <c r="AG21" s="447"/>
      <c r="AH21" s="447"/>
      <c r="AI21" s="447"/>
      <c r="AJ21" s="447"/>
      <c r="AK21" s="448"/>
      <c r="AL21" s="448"/>
      <c r="AM21" s="448"/>
      <c r="AN21" s="448">
        <f>AB21</f>
        <v>6.0082204583894532</v>
      </c>
      <c r="AO21" s="448">
        <f>AN21</f>
        <v>6.0082204583894532</v>
      </c>
      <c r="AP21" s="448">
        <f>T21-AO21</f>
        <v>727.99177954161053</v>
      </c>
      <c r="AQ21" s="22"/>
      <c r="AR21" s="22"/>
    </row>
    <row r="22" spans="1:44" s="22" customFormat="1" x14ac:dyDescent="0.2">
      <c r="A22" s="172" t="s">
        <v>364</v>
      </c>
      <c r="B22" s="172"/>
      <c r="C22" s="172"/>
      <c r="D22" s="185"/>
      <c r="E22" s="157"/>
      <c r="F22" s="88"/>
      <c r="G22" s="90"/>
      <c r="H22" s="201"/>
      <c r="I22" s="90"/>
      <c r="J22" s="90"/>
      <c r="K22" s="90"/>
      <c r="L22" s="90"/>
      <c r="M22" s="90"/>
      <c r="N22" s="90"/>
      <c r="O22" s="90"/>
      <c r="P22" s="90"/>
      <c r="Q22" s="90"/>
      <c r="R22" s="88"/>
      <c r="S22" s="186"/>
      <c r="T22" s="187"/>
      <c r="U22" s="89"/>
      <c r="V22" s="152"/>
      <c r="W22" s="233">
        <v>0</v>
      </c>
      <c r="X22" s="100"/>
      <c r="Y22" s="126"/>
      <c r="Z22" s="100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116"/>
    </row>
    <row r="23" spans="1:44" s="22" customFormat="1" x14ac:dyDescent="0.2">
      <c r="A23" s="172" t="s">
        <v>365</v>
      </c>
      <c r="B23" s="178"/>
      <c r="C23" s="178"/>
      <c r="D23" s="157"/>
      <c r="E23" s="157"/>
      <c r="F23" s="88"/>
      <c r="G23" s="90"/>
      <c r="H23" s="201"/>
      <c r="I23" s="90"/>
      <c r="J23" s="90"/>
      <c r="K23" s="90"/>
      <c r="L23" s="90"/>
      <c r="M23" s="90"/>
      <c r="N23" s="90"/>
      <c r="O23" s="90"/>
      <c r="P23" s="90"/>
      <c r="Q23" s="90"/>
      <c r="R23" s="88"/>
      <c r="S23" s="171"/>
      <c r="T23" s="188"/>
      <c r="U23" s="89"/>
      <c r="V23" s="152"/>
      <c r="W23" s="233">
        <v>0</v>
      </c>
      <c r="X23" s="100"/>
      <c r="Y23" s="127"/>
      <c r="Z23" s="100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116"/>
    </row>
    <row r="24" spans="1:44" s="449" customFormat="1" x14ac:dyDescent="0.2">
      <c r="A24" s="434" t="s">
        <v>475</v>
      </c>
      <c r="B24" s="450" t="s">
        <v>882</v>
      </c>
      <c r="C24" s="450" t="s">
        <v>471</v>
      </c>
      <c r="D24" s="435">
        <v>3</v>
      </c>
      <c r="E24" s="469">
        <v>0.33329999999999999</v>
      </c>
      <c r="F24" s="437">
        <v>42332</v>
      </c>
      <c r="G24" s="438">
        <v>36</v>
      </c>
      <c r="H24" s="439">
        <f>100/G24</f>
        <v>2.7777777777777777</v>
      </c>
      <c r="I24" s="440">
        <f t="shared" ref="I24" si="7">H24*J24</f>
        <v>0</v>
      </c>
      <c r="J24" s="438">
        <f>(YEAR(F24)-YEAR(S24))*12+MONTH(F24)-MONTH(S24)</f>
        <v>0</v>
      </c>
      <c r="K24" s="440">
        <f>L24*H24</f>
        <v>100</v>
      </c>
      <c r="L24" s="438">
        <f>G24-J24</f>
        <v>36</v>
      </c>
      <c r="M24" s="440">
        <f>N24*H24</f>
        <v>2.7777777777777777</v>
      </c>
      <c r="N24" s="438">
        <v>1</v>
      </c>
      <c r="O24" s="440">
        <f>K24-M24</f>
        <v>97.222222222222229</v>
      </c>
      <c r="P24" s="438">
        <f>L24-N24</f>
        <v>35</v>
      </c>
      <c r="Q24" s="438">
        <f>M24-O24</f>
        <v>-94.444444444444457</v>
      </c>
      <c r="R24" s="437" t="s">
        <v>883</v>
      </c>
      <c r="S24" s="437">
        <v>42332</v>
      </c>
      <c r="T24" s="443">
        <v>6278.3</v>
      </c>
      <c r="U24" s="443">
        <v>0</v>
      </c>
      <c r="V24" s="444">
        <v>0</v>
      </c>
      <c r="W24" s="440">
        <v>0</v>
      </c>
      <c r="X24" s="445">
        <v>115.958</v>
      </c>
      <c r="Y24" s="447">
        <v>118.051</v>
      </c>
      <c r="Z24" s="445">
        <f>X24/Y24</f>
        <v>0.98227037466857536</v>
      </c>
      <c r="AA24" s="447">
        <f>H24*T24/100</f>
        <v>174.39722222222224</v>
      </c>
      <c r="AB24" s="447">
        <f>AA24*Z24</f>
        <v>171.30522481338105</v>
      </c>
      <c r="AC24" s="447"/>
      <c r="AD24" s="447"/>
      <c r="AE24" s="447"/>
      <c r="AF24" s="447"/>
      <c r="AG24" s="447"/>
      <c r="AH24" s="447"/>
      <c r="AI24" s="447"/>
      <c r="AJ24" s="447"/>
      <c r="AK24" s="447"/>
      <c r="AL24" s="447"/>
      <c r="AM24" s="447"/>
      <c r="AN24" s="447">
        <f>AB24</f>
        <v>171.30522481338105</v>
      </c>
      <c r="AO24" s="447">
        <f>SUM(AC24:AN24)</f>
        <v>171.30522481338105</v>
      </c>
      <c r="AP24" s="448">
        <f>T24-AO24</f>
        <v>6106.9947751866193</v>
      </c>
      <c r="AQ24" s="22"/>
      <c r="AR24" s="22"/>
    </row>
    <row r="25" spans="1:44" x14ac:dyDescent="0.2">
      <c r="R25" s="243"/>
      <c r="AB25" s="263"/>
      <c r="AH25" s="263">
        <f t="shared" ref="AH25" si="8">SUM(AH15:AH18)</f>
        <v>69.650000000000006</v>
      </c>
      <c r="AI25" s="263"/>
      <c r="AJ25" s="263"/>
      <c r="AK25" s="263"/>
      <c r="AL25" s="263"/>
      <c r="AM25" s="263"/>
      <c r="AN25" s="263">
        <f t="shared" ref="AN25:AO25" si="9">SUM(AN15:AN24)</f>
        <v>222.3634452717705</v>
      </c>
      <c r="AO25" s="263">
        <f t="shared" si="9"/>
        <v>640.26344527177059</v>
      </c>
      <c r="AP25" s="263">
        <f>SUM(AP15:AP24)</f>
        <v>7708.9665547282293</v>
      </c>
    </row>
    <row r="26" spans="1:44" s="150" customFormat="1" x14ac:dyDescent="0.2">
      <c r="A26" s="156" t="s">
        <v>460</v>
      </c>
      <c r="B26" s="132"/>
      <c r="C26" s="132"/>
      <c r="D26" s="133"/>
      <c r="E26" s="133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4"/>
      <c r="S26" s="134"/>
      <c r="T26" s="135"/>
      <c r="U26" s="135"/>
      <c r="W26"/>
      <c r="X26"/>
      <c r="Y26" s="121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 s="113"/>
      <c r="AQ26" s="149"/>
      <c r="AR26" s="149"/>
    </row>
    <row r="27" spans="1:44" s="150" customFormat="1" x14ac:dyDescent="0.2">
      <c r="A27" s="14"/>
      <c r="B27"/>
      <c r="C27"/>
      <c r="D27" s="27"/>
      <c r="E27" s="27"/>
      <c r="F27"/>
      <c r="G27"/>
      <c r="H27"/>
      <c r="I27"/>
      <c r="J27"/>
      <c r="K27"/>
      <c r="L27"/>
      <c r="M27"/>
      <c r="N27"/>
      <c r="O27"/>
      <c r="P27"/>
      <c r="Q27"/>
      <c r="R27" s="28"/>
      <c r="S27" s="28"/>
      <c r="T27" s="16"/>
      <c r="U27" s="16"/>
      <c r="W27"/>
      <c r="X27"/>
      <c r="Y27" s="121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113"/>
      <c r="AQ27" s="149"/>
      <c r="AR27" s="149"/>
    </row>
    <row r="28" spans="1:44" ht="30.75" hidden="1" customHeight="1" x14ac:dyDescent="0.2">
      <c r="A28" s="568" t="s">
        <v>613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239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</row>
    <row r="29" spans="1:44" s="121" customFormat="1" hidden="1" x14ac:dyDescent="0.2">
      <c r="A29" s="568"/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113"/>
      <c r="AQ29" s="22"/>
      <c r="AR29" s="513"/>
    </row>
    <row r="31" spans="1:44" x14ac:dyDescent="0.2">
      <c r="V31" s="567" t="s">
        <v>1062</v>
      </c>
      <c r="W31" s="572"/>
      <c r="X31" s="572"/>
      <c r="Y31" s="572"/>
      <c r="Z31" s="572"/>
      <c r="AN31" s="526">
        <f>SUM(AN25-AN24-AN21)</f>
        <v>45.050000000000004</v>
      </c>
    </row>
    <row r="32" spans="1:44" x14ac:dyDescent="0.2">
      <c r="V32" s="572"/>
      <c r="W32" s="572"/>
      <c r="X32" s="572"/>
      <c r="Y32" s="572"/>
      <c r="Z32" s="572"/>
      <c r="AN32" s="17">
        <f>SUM(AO24+AO21)+AN31</f>
        <v>222.3634452717705</v>
      </c>
    </row>
    <row r="33" spans="22:26" x14ac:dyDescent="0.2">
      <c r="V33" s="572"/>
      <c r="W33" s="572"/>
      <c r="X33" s="572"/>
      <c r="Y33" s="572"/>
      <c r="Z33" s="572"/>
    </row>
    <row r="34" spans="22:26" x14ac:dyDescent="0.2">
      <c r="V34" s="572"/>
      <c r="W34" s="572"/>
      <c r="X34" s="572"/>
      <c r="Y34" s="572"/>
      <c r="Z34" s="572"/>
    </row>
  </sheetData>
  <mergeCells count="26">
    <mergeCell ref="V31:Z34"/>
    <mergeCell ref="D10:P10"/>
    <mergeCell ref="R10:T10"/>
    <mergeCell ref="U10:AP10"/>
    <mergeCell ref="A11:A12"/>
    <mergeCell ref="B11:B12"/>
    <mergeCell ref="E11:E12"/>
    <mergeCell ref="F11:F12"/>
    <mergeCell ref="G11:G12"/>
    <mergeCell ref="H11:H12"/>
    <mergeCell ref="I11:I12"/>
    <mergeCell ref="AA11:AA12"/>
    <mergeCell ref="AB11:AB12"/>
    <mergeCell ref="A28:X29"/>
    <mergeCell ref="R11:R12"/>
    <mergeCell ref="S11:S12"/>
    <mergeCell ref="T11:T12"/>
    <mergeCell ref="U11:U12"/>
    <mergeCell ref="V11:V12"/>
    <mergeCell ref="W11:W12"/>
    <mergeCell ref="J11:J12"/>
    <mergeCell ref="K11:K12"/>
    <mergeCell ref="L11:L12"/>
    <mergeCell ref="M11:M12"/>
    <mergeCell ref="O11:O12"/>
    <mergeCell ref="Q11:Q12"/>
  </mergeCells>
  <printOptions horizontalCentered="1"/>
  <pageMargins left="0.59055118110236227" right="0.19685039370078741" top="0.39370078740157483" bottom="0.39370078740157483" header="0" footer="0"/>
  <pageSetup paperSize="5" scale="5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28</vt:i4>
      </vt:variant>
    </vt:vector>
  </HeadingPairs>
  <TitlesOfParts>
    <vt:vector size="66" baseType="lpstr">
      <vt:lpstr>CONTRALORIA</vt:lpstr>
      <vt:lpstr>PRESIDENCIA 2015 YA</vt:lpstr>
      <vt:lpstr>HACIENDA YA 2015</vt:lpstr>
      <vt:lpstr>INSTITUTO DE LA JUVENTUD</vt:lpstr>
      <vt:lpstr>OFICIALÍA MAYOR YA 2015</vt:lpstr>
      <vt:lpstr>SECRETARÍA YA 2015</vt:lpstr>
      <vt:lpstr>RECLUTAMIENTO YA 2015</vt:lpstr>
      <vt:lpstr>PARQUE VEHICULAR YA 2015</vt:lpstr>
      <vt:lpstr>COMUNICACIÓN SOCIAL YA 2015</vt:lpstr>
      <vt:lpstr>CÓMPUTO E INFORMÁTICA YA 2015</vt:lpstr>
      <vt:lpstr>DEPORTES YA 2015</vt:lpstr>
      <vt:lpstr>JURÍDICO YA 2015</vt:lpstr>
      <vt:lpstr>PROMOCIÓN ECONÓMICA YA 2015</vt:lpstr>
      <vt:lpstr>ECOLOGÍA YA 2015</vt:lpstr>
      <vt:lpstr>DESARROLLO RURAL YA 2015</vt:lpstr>
      <vt:lpstr>PROTECCIÓN CIVIL YA 2015</vt:lpstr>
      <vt:lpstr>OBRAS PÚBLICAS YA 2015</vt:lpstr>
      <vt:lpstr>CE-MUJER YA 2015</vt:lpstr>
      <vt:lpstr>CATASTRO 2015 YA</vt:lpstr>
      <vt:lpstr>CULTURA DEL AGUA</vt:lpstr>
      <vt:lpstr>REG. CIVIL 2015 YA</vt:lpstr>
      <vt:lpstr>SERV. PÚB. 2015 YA</vt:lpstr>
      <vt:lpstr>TRAILERS DE AYUDA</vt:lpstr>
      <vt:lpstr>PLANEACIÓN, PROGRAMACIÓN Y PRES</vt:lpstr>
      <vt:lpstr>PART. C</vt:lpstr>
      <vt:lpstr>JUZGADO SIN REVALÚO</vt:lpstr>
      <vt:lpstr>JUZGADO</vt:lpstr>
      <vt:lpstr>SEG. PUBLICA</vt:lpstr>
      <vt:lpstr>ELIMINAR</vt:lpstr>
      <vt:lpstr>SÍNDICO</vt:lpstr>
      <vt:lpstr>DESARROLLO ECONOMICO</vt:lpstr>
      <vt:lpstr>DESARROLLO SOCIAL</vt:lpstr>
      <vt:lpstr>casa de la cultura act</vt:lpstr>
      <vt:lpstr>infra</vt:lpstr>
      <vt:lpstr>VEHICULOS</vt:lpstr>
      <vt:lpstr>vehiculos sin revaluo</vt:lpstr>
      <vt:lpstr>TERRENOS</vt:lpstr>
      <vt:lpstr>vehiculos sin revaluo (2)</vt:lpstr>
      <vt:lpstr>'CATASTRO 2015 YA'!Títulos_a_imprimir</vt:lpstr>
      <vt:lpstr>'CE-MUJER YA 2015'!Títulos_a_imprimir</vt:lpstr>
      <vt:lpstr>'CÓMPUTO E INFORMÁTICA YA 2015'!Títulos_a_imprimir</vt:lpstr>
      <vt:lpstr>'COMUNICACIÓN SOCIAL YA 2015'!Títulos_a_imprimir</vt:lpstr>
      <vt:lpstr>'CULTURA DEL AGUA'!Títulos_a_imprimir</vt:lpstr>
      <vt:lpstr>'DEPORTES YA 2015'!Títulos_a_imprimir</vt:lpstr>
      <vt:lpstr>'DESARROLLO RURAL YA 2015'!Títulos_a_imprimir</vt:lpstr>
      <vt:lpstr>'ECOLOGÍA YA 2015'!Títulos_a_imprimir</vt:lpstr>
      <vt:lpstr>ELIMINAR!Títulos_a_imprimir</vt:lpstr>
      <vt:lpstr>'HACIENDA YA 2015'!Títulos_a_imprimir</vt:lpstr>
      <vt:lpstr>'INSTITUTO DE LA JUVENTUD'!Títulos_a_imprimir</vt:lpstr>
      <vt:lpstr>'JURÍDICO YA 2015'!Títulos_a_imprimir</vt:lpstr>
      <vt:lpstr>JUZGADO!Títulos_a_imprimir</vt:lpstr>
      <vt:lpstr>'JUZGADO SIN REVALÚO'!Títulos_a_imprimir</vt:lpstr>
      <vt:lpstr>'OBRAS PÚBLICAS YA 2015'!Títulos_a_imprimir</vt:lpstr>
      <vt:lpstr>'OFICIALÍA MAYOR YA 2015'!Títulos_a_imprimir</vt:lpstr>
      <vt:lpstr>'PARQUE VEHICULAR YA 2015'!Títulos_a_imprimir</vt:lpstr>
      <vt:lpstr>'PART. C'!Títulos_a_imprimir</vt:lpstr>
      <vt:lpstr>'PLANEACIÓN, PROGRAMACIÓN Y PRES'!Títulos_a_imprimir</vt:lpstr>
      <vt:lpstr>'PRESIDENCIA 2015 YA'!Títulos_a_imprimir</vt:lpstr>
      <vt:lpstr>'PROMOCIÓN ECONÓMICA YA 2015'!Títulos_a_imprimir</vt:lpstr>
      <vt:lpstr>'PROTECCIÓN CIVIL YA 2015'!Títulos_a_imprimir</vt:lpstr>
      <vt:lpstr>'RECLUTAMIENTO YA 2015'!Títulos_a_imprimir</vt:lpstr>
      <vt:lpstr>'REG. CIVIL 2015 YA'!Títulos_a_imprimir</vt:lpstr>
      <vt:lpstr>'SECRETARÍA YA 2015'!Títulos_a_imprimir</vt:lpstr>
      <vt:lpstr>'SERV. PÚB. 2015 YA'!Títulos_a_imprimir</vt:lpstr>
      <vt:lpstr>SÍNDICO!Títulos_a_imprimir</vt:lpstr>
      <vt:lpstr>'TRAILERS DE AYUDA'!Títulos_a_imprimir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ecarrillo</dc:creator>
  <cp:lastModifiedBy>CLARIDAD</cp:lastModifiedBy>
  <cp:lastPrinted>2016-02-26T00:25:01Z</cp:lastPrinted>
  <dcterms:created xsi:type="dcterms:W3CDTF">2013-03-06T00:55:14Z</dcterms:created>
  <dcterms:modified xsi:type="dcterms:W3CDTF">2016-03-02T01:10:19Z</dcterms:modified>
</cp:coreProperties>
</file>