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5" windowWidth="28035" windowHeight="12030"/>
  </bookViews>
  <sheets>
    <sheet name="PLANTILLA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DGráfico2" localSheetId="0" hidden="1">'[1]011'!#REF!</definedName>
    <definedName name="__123Graph_DGráfico2" hidden="1">'[2]011'!#REF!</definedName>
    <definedName name="_xlnm._FilterDatabase" localSheetId="0" hidden="1">'PLANTILLA 2018'!#REF!</definedName>
    <definedName name="a" localSheetId="0">[3]Hoja1!#REF!</definedName>
    <definedName name="a">[4]Hoja1!#REF!</definedName>
    <definedName name="Apoyo" localSheetId="0" hidden="1">'[5]011'!#REF!</definedName>
    <definedName name="Apoyo" hidden="1">'[6]011'!#REF!</definedName>
    <definedName name="_xlnm.Print_Area" localSheetId="0">'PLANTILLA 2018'!$A$1:$W$40</definedName>
    <definedName name="b" localSheetId="0" hidden="1">'[1]011'!#REF!</definedName>
    <definedName name="b" hidden="1">'[2]011'!#REF!</definedName>
    <definedName name="BASEDATOS" localSheetId="0">[7]Hoja1!#REF!</definedName>
    <definedName name="BASEDATOS">[8]Hoja1!#REF!</definedName>
    <definedName name="BD" localSheetId="0">[7]Hoja1!#REF!</definedName>
    <definedName name="BD">[8]Hoja1!#REF!</definedName>
    <definedName name="calenda" localSheetId="0" hidden="1">'[5]011'!#REF!</definedName>
    <definedName name="calenda" hidden="1">'[6]011'!#REF!</definedName>
    <definedName name="d" localSheetId="0" hidden="1">'[5]011'!#REF!</definedName>
    <definedName name="d" hidden="1">'[6]011'!#REF!</definedName>
    <definedName name="EXPEDIENTESDJR" localSheetId="0">[7]Hoja1!#REF!</definedName>
    <definedName name="EXPEDIENTESDJR">[8]Hoja1!#REF!</definedName>
    <definedName name="g" localSheetId="0" hidden="1">'[5]011'!#REF!</definedName>
    <definedName name="g" hidden="1">'[6]011'!#REF!</definedName>
    <definedName name="i" localSheetId="0" hidden="1">'[5]011'!#REF!</definedName>
    <definedName name="i" hidden="1">'[6]011'!#REF!</definedName>
    <definedName name="plantilla" localSheetId="0" hidden="1">'[1]011'!#REF!</definedName>
    <definedName name="plantilla" hidden="1">'[2]011'!#REF!</definedName>
    <definedName name="PLANTILLA_PARA_REVISION_2001" localSheetId="0">'PLANTILLA 2018'!$A$12:$F$12</definedName>
    <definedName name="PROGRAMA" localSheetId="0">[7]Hoja1!#REF!</definedName>
    <definedName name="PROGRAMA">[8]Hoja1!#REF!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'PLANTILLA 2018'!$12:$12</definedName>
    <definedName name="Transferencia" localSheetId="0" hidden="1">'[5]011'!#REF!</definedName>
    <definedName name="Transferencia" hidden="1">'[6]011'!#REF!</definedName>
  </definedNames>
  <calcPr calcId="125725"/>
</workbook>
</file>

<file path=xl/calcChain.xml><?xml version="1.0" encoding="utf-8"?>
<calcChain xmlns="http://schemas.openxmlformats.org/spreadsheetml/2006/main">
  <c r="E44" i="1"/>
  <c r="E42"/>
  <c r="E40"/>
  <c r="J40"/>
  <c r="P39"/>
  <c r="P40" s="1"/>
  <c r="O39"/>
  <c r="O40" s="1"/>
  <c r="H39"/>
  <c r="X38"/>
  <c r="Q38"/>
  <c r="S38" s="1"/>
  <c r="M38"/>
  <c r="I38"/>
  <c r="X37"/>
  <c r="Q37"/>
  <c r="S37" s="1"/>
  <c r="M37"/>
  <c r="I37"/>
  <c r="X36"/>
  <c r="Q36"/>
  <c r="M36"/>
  <c r="I36"/>
  <c r="X35"/>
  <c r="Q35"/>
  <c r="S35" s="1"/>
  <c r="M35"/>
  <c r="I35"/>
  <c r="M34"/>
  <c r="G34"/>
  <c r="Q34" s="1"/>
  <c r="S34" s="1"/>
  <c r="M33"/>
  <c r="G33"/>
  <c r="I33" s="1"/>
  <c r="M32"/>
  <c r="G32"/>
  <c r="X32" s="1"/>
  <c r="M31"/>
  <c r="G31"/>
  <c r="I31" s="1"/>
  <c r="M30"/>
  <c r="G30"/>
  <c r="Q30" s="1"/>
  <c r="S30" s="1"/>
  <c r="M29"/>
  <c r="G29"/>
  <c r="I29" s="1"/>
  <c r="M28"/>
  <c r="G28"/>
  <c r="Q28" s="1"/>
  <c r="S28" s="1"/>
  <c r="X27"/>
  <c r="M27"/>
  <c r="I27"/>
  <c r="G27"/>
  <c r="Q27" s="1"/>
  <c r="S27" s="1"/>
  <c r="M26"/>
  <c r="G26"/>
  <c r="X26" s="1"/>
  <c r="M25"/>
  <c r="G25"/>
  <c r="I25" s="1"/>
  <c r="M24"/>
  <c r="G24"/>
  <c r="Q24" s="1"/>
  <c r="S24" s="1"/>
  <c r="M23"/>
  <c r="G23"/>
  <c r="I23" s="1"/>
  <c r="M22"/>
  <c r="G22"/>
  <c r="Q22" s="1"/>
  <c r="S22" s="1"/>
  <c r="M21"/>
  <c r="G21"/>
  <c r="I21" s="1"/>
  <c r="M20"/>
  <c r="G20"/>
  <c r="Q20" s="1"/>
  <c r="S20" s="1"/>
  <c r="M19"/>
  <c r="G19"/>
  <c r="X19" s="1"/>
  <c r="M18"/>
  <c r="I18"/>
  <c r="G18"/>
  <c r="Q18" s="1"/>
  <c r="S18" s="1"/>
  <c r="M17"/>
  <c r="G17"/>
  <c r="I17" s="1"/>
  <c r="M16"/>
  <c r="G16"/>
  <c r="Q16" s="1"/>
  <c r="S16" s="1"/>
  <c r="M15"/>
  <c r="G15"/>
  <c r="X15" s="1"/>
  <c r="M14"/>
  <c r="G14"/>
  <c r="I14" s="1"/>
  <c r="N13"/>
  <c r="M13"/>
  <c r="G13"/>
  <c r="X13" s="1"/>
  <c r="Q32" l="1"/>
  <c r="S32" s="1"/>
  <c r="I13"/>
  <c r="L13" s="1"/>
  <c r="Q15"/>
  <c r="S15" s="1"/>
  <c r="X18"/>
  <c r="X30"/>
  <c r="Q33"/>
  <c r="S33" s="1"/>
  <c r="I30"/>
  <c r="T30" s="1"/>
  <c r="Q19"/>
  <c r="S19" s="1"/>
  <c r="L35"/>
  <c r="Q13"/>
  <c r="Q26"/>
  <c r="S26" s="1"/>
  <c r="N35"/>
  <c r="I19"/>
  <c r="V19" s="1"/>
  <c r="X29"/>
  <c r="X34"/>
  <c r="X17"/>
  <c r="V36"/>
  <c r="I22"/>
  <c r="U22" s="1"/>
  <c r="X23"/>
  <c r="T36"/>
  <c r="I15"/>
  <c r="N15" s="1"/>
  <c r="Q23"/>
  <c r="S23" s="1"/>
  <c r="I26"/>
  <c r="U26" s="1"/>
  <c r="I32"/>
  <c r="T32" s="1"/>
  <c r="X21"/>
  <c r="V35"/>
  <c r="M39"/>
  <c r="M40" s="1"/>
  <c r="X14"/>
  <c r="X25"/>
  <c r="Q31"/>
  <c r="S31" s="1"/>
  <c r="Q14"/>
  <c r="S14" s="1"/>
  <c r="N27"/>
  <c r="N37"/>
  <c r="G39"/>
  <c r="G40" s="1"/>
  <c r="X22"/>
  <c r="U18"/>
  <c r="T33"/>
  <c r="U33"/>
  <c r="X16"/>
  <c r="T18"/>
  <c r="X20"/>
  <c r="L23"/>
  <c r="X24"/>
  <c r="L27"/>
  <c r="V27"/>
  <c r="X28"/>
  <c r="S36"/>
  <c r="L37"/>
  <c r="V37"/>
  <c r="T13"/>
  <c r="Q17"/>
  <c r="S17" s="1"/>
  <c r="Q21"/>
  <c r="S21" s="1"/>
  <c r="Q25"/>
  <c r="S25" s="1"/>
  <c r="K27"/>
  <c r="U27"/>
  <c r="Q29"/>
  <c r="S29" s="1"/>
  <c r="N32"/>
  <c r="I34"/>
  <c r="K37"/>
  <c r="U37"/>
  <c r="N38"/>
  <c r="T37"/>
  <c r="T15"/>
  <c r="T27"/>
  <c r="X33"/>
  <c r="K35"/>
  <c r="R35" s="1"/>
  <c r="U35"/>
  <c r="N36"/>
  <c r="L38"/>
  <c r="V38"/>
  <c r="K13"/>
  <c r="I16"/>
  <c r="N18"/>
  <c r="I20"/>
  <c r="I24"/>
  <c r="I28"/>
  <c r="U32"/>
  <c r="T35"/>
  <c r="R37"/>
  <c r="K38"/>
  <c r="U38"/>
  <c r="L36"/>
  <c r="T38"/>
  <c r="S13"/>
  <c r="V14"/>
  <c r="L18"/>
  <c r="V18"/>
  <c r="L30"/>
  <c r="V30"/>
  <c r="K36"/>
  <c r="U36"/>
  <c r="K18"/>
  <c r="K30"/>
  <c r="T19" l="1"/>
  <c r="U15"/>
  <c r="K33"/>
  <c r="U13"/>
  <c r="N33"/>
  <c r="K19"/>
  <c r="T14"/>
  <c r="L15"/>
  <c r="N22"/>
  <c r="N30"/>
  <c r="R30" s="1"/>
  <c r="L32"/>
  <c r="V33"/>
  <c r="K14"/>
  <c r="K32"/>
  <c r="R32" s="1"/>
  <c r="V32"/>
  <c r="K23"/>
  <c r="L33"/>
  <c r="N19"/>
  <c r="L25"/>
  <c r="U30"/>
  <c r="U19"/>
  <c r="L19"/>
  <c r="R18"/>
  <c r="W18" s="1"/>
  <c r="K26"/>
  <c r="L22"/>
  <c r="L31"/>
  <c r="V21"/>
  <c r="V25"/>
  <c r="V26"/>
  <c r="T22"/>
  <c r="N21"/>
  <c r="S39"/>
  <c r="S40" s="1"/>
  <c r="I39"/>
  <c r="I40" s="1"/>
  <c r="L14"/>
  <c r="R27"/>
  <c r="W27" s="1"/>
  <c r="W37"/>
  <c r="V31"/>
  <c r="V23"/>
  <c r="V15"/>
  <c r="N17"/>
  <c r="N23"/>
  <c r="R23" s="1"/>
  <c r="W23" s="1"/>
  <c r="R36"/>
  <c r="W36" s="1"/>
  <c r="R38"/>
  <c r="W38" s="1"/>
  <c r="N26"/>
  <c r="N14"/>
  <c r="R14" s="1"/>
  <c r="T31"/>
  <c r="K31"/>
  <c r="T21"/>
  <c r="N31"/>
  <c r="V17"/>
  <c r="T23"/>
  <c r="W35"/>
  <c r="U31"/>
  <c r="T26"/>
  <c r="U21"/>
  <c r="U14"/>
  <c r="V22"/>
  <c r="U23"/>
  <c r="K22"/>
  <c r="R22" s="1"/>
  <c r="L26"/>
  <c r="K15"/>
  <c r="R15" s="1"/>
  <c r="K21"/>
  <c r="U17"/>
  <c r="L21"/>
  <c r="U29"/>
  <c r="T25"/>
  <c r="K17"/>
  <c r="T20"/>
  <c r="L20"/>
  <c r="U20"/>
  <c r="K20"/>
  <c r="V20"/>
  <c r="N20"/>
  <c r="V29"/>
  <c r="U25"/>
  <c r="T17"/>
  <c r="L29"/>
  <c r="N29"/>
  <c r="T24"/>
  <c r="V24"/>
  <c r="U24"/>
  <c r="K24"/>
  <c r="L24"/>
  <c r="N24"/>
  <c r="R13"/>
  <c r="N25"/>
  <c r="L17"/>
  <c r="T16"/>
  <c r="L16"/>
  <c r="U16"/>
  <c r="K16"/>
  <c r="R16" s="1"/>
  <c r="V16"/>
  <c r="N16"/>
  <c r="V34"/>
  <c r="L34"/>
  <c r="N34"/>
  <c r="T34"/>
  <c r="U34"/>
  <c r="K34"/>
  <c r="Q39"/>
  <c r="T29"/>
  <c r="T28"/>
  <c r="U28"/>
  <c r="K28"/>
  <c r="V28"/>
  <c r="L28"/>
  <c r="N28"/>
  <c r="K29"/>
  <c r="K25"/>
  <c r="R33" l="1"/>
  <c r="W33" s="1"/>
  <c r="R19"/>
  <c r="W19" s="1"/>
  <c r="W32"/>
  <c r="R20"/>
  <c r="W20" s="1"/>
  <c r="R28"/>
  <c r="W28" s="1"/>
  <c r="W30"/>
  <c r="W14"/>
  <c r="R21"/>
  <c r="W21" s="1"/>
  <c r="R25"/>
  <c r="W25" s="1"/>
  <c r="N39"/>
  <c r="N40" s="1"/>
  <c r="R26"/>
  <c r="W26" s="1"/>
  <c r="R31"/>
  <c r="W31" s="1"/>
  <c r="U39"/>
  <c r="U40" s="1"/>
  <c r="W16"/>
  <c r="R34"/>
  <c r="W34" s="1"/>
  <c r="K39"/>
  <c r="K40" s="1"/>
  <c r="V39"/>
  <c r="V40" s="1"/>
  <c r="W15"/>
  <c r="R29"/>
  <c r="W29" s="1"/>
  <c r="W22"/>
  <c r="T39"/>
  <c r="T40" s="1"/>
  <c r="L39"/>
  <c r="L40" s="1"/>
  <c r="R24"/>
  <c r="W24" s="1"/>
  <c r="W13"/>
  <c r="R17"/>
  <c r="W17" s="1"/>
  <c r="W40" l="1"/>
  <c r="R39"/>
  <c r="W39"/>
</calcChain>
</file>

<file path=xl/comments1.xml><?xml version="1.0" encoding="utf-8"?>
<comments xmlns="http://schemas.openxmlformats.org/spreadsheetml/2006/main">
  <authors>
    <author>Consejo Estatal de Promoción Económica</author>
  </authors>
  <commentList>
    <comment ref="N13" authorId="0">
      <text>
        <r>
          <rPr>
            <b/>
            <sz val="10"/>
            <color indexed="81"/>
            <rFont val="Tahoma"/>
            <family val="2"/>
          </rPr>
          <t xml:space="preserve">ESTA CANTIDAD ES
EL TOPE MENSUAL BIMESTRAL ES
$2,641.20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<sst xmlns="http://schemas.openxmlformats.org/spreadsheetml/2006/main" count="109" uniqueCount="60">
  <si>
    <t>PLANTILLA DE PERSONAL 2018</t>
  </si>
  <si>
    <r>
      <t xml:space="preserve">ORGANISMO:  </t>
    </r>
    <r>
      <rPr>
        <b/>
        <sz val="18"/>
        <rFont val="Arial"/>
        <family val="2"/>
      </rPr>
      <t>CONSEJO ESTATAL DE PROMOCIÓN ECONÓMICA</t>
    </r>
  </si>
  <si>
    <t>COSTO MENSUAL</t>
  </si>
  <si>
    <t>COSTO ANUAL</t>
  </si>
  <si>
    <t>NIVEL</t>
  </si>
  <si>
    <t>JOR</t>
  </si>
  <si>
    <t>CATEG</t>
  </si>
  <si>
    <t>ZONA
ECONÓMICA</t>
  </si>
  <si>
    <t>ADSCRIPCIÓN</t>
  </si>
  <si>
    <t>SUELDO
1131</t>
  </si>
  <si>
    <t>SOBRE
SUELDO
1131</t>
  </si>
  <si>
    <t>SUMA 
1131</t>
  </si>
  <si>
    <t>QUINQUENIO ANUAL
1311</t>
  </si>
  <si>
    <t>CUOTAS A
PENSIONES
1431</t>
  </si>
  <si>
    <t>CUOTAS PARA
LA VIVIENDA
1421</t>
  </si>
  <si>
    <t>CUOTAS 
AL IMSS
1412</t>
  </si>
  <si>
    <t>CUOTAS
AL S.A.R.
1432</t>
  </si>
  <si>
    <t>DESPENSA
1712</t>
  </si>
  <si>
    <t>PASAJES
1713</t>
  </si>
  <si>
    <t>IMPACTO AL
SALARIO
1801</t>
  </si>
  <si>
    <t>TOTAL MENSUAL</t>
  </si>
  <si>
    <t>IMPACTO AL
SALARIO
1611</t>
  </si>
  <si>
    <t>AGUINALDO     1322</t>
  </si>
  <si>
    <t>PRIMA VACACIONAL   1321</t>
  </si>
  <si>
    <t>ESTIMULO AL SERV.PÚBLICO   1715</t>
  </si>
  <si>
    <t>TOTAL ANUAL</t>
  </si>
  <si>
    <t>20 DIAS POR AÑO</t>
  </si>
  <si>
    <t>C</t>
  </si>
  <si>
    <t>DIR. GRAL.</t>
  </si>
  <si>
    <t>SECRETARIO TÉCNICO</t>
  </si>
  <si>
    <t>DIRECCIÓN GENERAL</t>
  </si>
  <si>
    <t>DIR. DE GESTIÓN GUBERNAMENTAL</t>
  </si>
  <si>
    <t>DIR. DE ANÁLISIS Y SEGUIMIENTO</t>
  </si>
  <si>
    <t>DIR. PARQUES INDUSTR.</t>
  </si>
  <si>
    <t>DIR. ADMVO.</t>
  </si>
  <si>
    <t>DIR. JURIDICO</t>
  </si>
  <si>
    <t>COORDIN. REGIONAL</t>
  </si>
  <si>
    <t>DIRECCIÓN DE ANÁLISIS Y SEGUIMIENTO</t>
  </si>
  <si>
    <t>ASISTENTE DE PARQUES INDUSTRIALES</t>
  </si>
  <si>
    <t>DIRECCIÓN DE PARQUES INDUSTRIALES</t>
  </si>
  <si>
    <t>ASISTENTE JURIDICO</t>
  </si>
  <si>
    <t>DIRECCIÓN JURÍDICA</t>
  </si>
  <si>
    <t>ASISTENTE EVAL.Y SEG.</t>
  </si>
  <si>
    <t>ASISTENTE ANALISIS</t>
  </si>
  <si>
    <t>DIRECCIÓN ADMINISTRATIVA</t>
  </si>
  <si>
    <t>CONTADOR A</t>
  </si>
  <si>
    <t>DIRECCIÓN DE GESTIÓN GUBERNAMENTAL</t>
  </si>
  <si>
    <t>ENCARGADO SISTEMAS</t>
  </si>
  <si>
    <t>ASISTENTE DIR. GRAL.</t>
  </si>
  <si>
    <t>AUXILIAR ADMVO.</t>
  </si>
  <si>
    <t>B</t>
  </si>
  <si>
    <t>AUXILIAR JURIDICO</t>
  </si>
  <si>
    <t>RECEPCION</t>
  </si>
  <si>
    <t>CHOFER MENSAJERO</t>
  </si>
  <si>
    <t>INTENDENCIA</t>
  </si>
  <si>
    <t>TOTAL DE PLAZAS</t>
  </si>
  <si>
    <t>Total de plazas personal de confianza</t>
  </si>
  <si>
    <t>Total de plazas personal de base</t>
  </si>
  <si>
    <t>Nuúmero de vacantes</t>
  </si>
  <si>
    <t>PUESTO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</si>
</sst>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0000_ ;[Red]\-#,##0.000000\ "/>
    <numFmt numFmtId="166" formatCode="_-[$€-2]* #,##0.00_-;\-[$€-2]* #,##0.00_-;_-[$€-2]* &quot;-&quot;??_-"/>
    <numFmt numFmtId="167" formatCode="[$-80A]General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10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1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540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2" fillId="0" borderId="0"/>
    <xf numFmtId="0" fontId="1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7" fillId="0" borderId="0" xfId="1" applyFont="1" applyBorder="1" applyAlignment="1">
      <alignment horizontal="left"/>
    </xf>
    <xf numFmtId="44" fontId="4" fillId="0" borderId="0" xfId="2" applyFont="1" applyAlignment="1">
      <alignment horizontal="center" vertical="center"/>
    </xf>
    <xf numFmtId="44" fontId="4" fillId="0" borderId="0" xfId="2" applyFont="1" applyAlignment="1">
      <alignment vertical="center"/>
    </xf>
    <xf numFmtId="4" fontId="4" fillId="0" borderId="0" xfId="1" applyNumberFormat="1" applyFont="1" applyAlignme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8" fillId="3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vertical="center"/>
    </xf>
    <xf numFmtId="0" fontId="4" fillId="0" borderId="6" xfId="3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9" fillId="0" borderId="6" xfId="3" applyFont="1" applyFill="1" applyBorder="1" applyAlignment="1">
      <alignment horizontal="left"/>
    </xf>
    <xf numFmtId="0" fontId="4" fillId="0" borderId="6" xfId="3" applyBorder="1" applyAlignment="1">
      <alignment horizontal="center" vertical="center" wrapText="1"/>
    </xf>
    <xf numFmtId="44" fontId="4" fillId="0" borderId="6" xfId="2" applyFont="1" applyFill="1" applyBorder="1" applyAlignment="1">
      <alignment vertical="center"/>
    </xf>
    <xf numFmtId="4" fontId="4" fillId="0" borderId="6" xfId="1" applyNumberFormat="1" applyFont="1" applyFill="1" applyBorder="1" applyAlignment="1">
      <alignment vertical="center"/>
    </xf>
    <xf numFmtId="4" fontId="4" fillId="0" borderId="6" xfId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vertical="center"/>
    </xf>
    <xf numFmtId="44" fontId="4" fillId="0" borderId="6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 wrapText="1"/>
    </xf>
    <xf numFmtId="164" fontId="4" fillId="0" borderId="0" xfId="1" applyNumberFormat="1" applyFont="1" applyFill="1" applyAlignment="1">
      <alignment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left"/>
    </xf>
    <xf numFmtId="44" fontId="4" fillId="0" borderId="9" xfId="2" applyFont="1" applyFill="1" applyBorder="1" applyAlignment="1">
      <alignment vertical="center"/>
    </xf>
    <xf numFmtId="4" fontId="4" fillId="0" borderId="9" xfId="1" applyNumberFormat="1" applyFont="1" applyFill="1" applyBorder="1" applyAlignment="1">
      <alignment vertical="center"/>
    </xf>
    <xf numFmtId="4" fontId="4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vertical="center"/>
    </xf>
    <xf numFmtId="44" fontId="4" fillId="0" borderId="9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left" vertical="center" wrapText="1"/>
    </xf>
    <xf numFmtId="165" fontId="4" fillId="0" borderId="0" xfId="1" applyNumberFormat="1" applyFont="1" applyFill="1" applyAlignment="1">
      <alignment vertical="center"/>
    </xf>
    <xf numFmtId="164" fontId="4" fillId="0" borderId="0" xfId="1" applyNumberFormat="1" applyFont="1" applyAlignment="1">
      <alignment vertical="center"/>
    </xf>
    <xf numFmtId="0" fontId="9" fillId="0" borderId="9" xfId="3" applyFont="1" applyFill="1" applyBorder="1"/>
    <xf numFmtId="0" fontId="4" fillId="0" borderId="9" xfId="3" applyFont="1" applyBorder="1" applyAlignment="1">
      <alignment horizontal="center" vertical="center"/>
    </xf>
    <xf numFmtId="0" fontId="9" fillId="0" borderId="9" xfId="3" applyFont="1" applyBorder="1"/>
    <xf numFmtId="0" fontId="4" fillId="0" borderId="9" xfId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44" fontId="4" fillId="0" borderId="9" xfId="4" applyFont="1" applyFill="1" applyBorder="1"/>
    <xf numFmtId="0" fontId="4" fillId="0" borderId="11" xfId="3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9" fillId="0" borderId="11" xfId="3" applyFont="1" applyFill="1" applyBorder="1" applyAlignment="1">
      <alignment horizontal="left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44" fontId="4" fillId="0" borderId="11" xfId="4" applyFont="1" applyFill="1" applyBorder="1"/>
    <xf numFmtId="4" fontId="4" fillId="0" borderId="11" xfId="1" applyNumberFormat="1" applyFont="1" applyFill="1" applyBorder="1" applyAlignment="1">
      <alignment vertical="center"/>
    </xf>
    <xf numFmtId="4" fontId="4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Fill="1" applyBorder="1" applyAlignment="1">
      <alignment vertical="center"/>
    </xf>
    <xf numFmtId="44" fontId="4" fillId="0" borderId="11" xfId="1" applyNumberFormat="1" applyFont="1" applyFill="1" applyBorder="1" applyAlignment="1">
      <alignment vertical="center"/>
    </xf>
    <xf numFmtId="164" fontId="4" fillId="0" borderId="12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44" fontId="10" fillId="0" borderId="0" xfId="1" applyNumberFormat="1" applyFont="1" applyFill="1" applyAlignment="1">
      <alignment horizontal="center" vertical="center"/>
    </xf>
    <xf numFmtId="44" fontId="8" fillId="0" borderId="0" xfId="2" applyFont="1" applyFill="1" applyAlignment="1">
      <alignment vertical="center"/>
    </xf>
    <xf numFmtId="44" fontId="5" fillId="0" borderId="0" xfId="2" applyFont="1" applyFill="1" applyAlignment="1">
      <alignment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4" fontId="4" fillId="2" borderId="0" xfId="1" applyNumberFormat="1" applyFont="1" applyFill="1" applyBorder="1" applyAlignment="1">
      <alignment horizontal="center" vertical="center"/>
    </xf>
    <xf numFmtId="4" fontId="4" fillId="2" borderId="0" xfId="1" applyNumberFormat="1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vertical="center"/>
    </xf>
    <xf numFmtId="44" fontId="4" fillId="2" borderId="0" xfId="2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vertical="center"/>
    </xf>
    <xf numFmtId="44" fontId="5" fillId="2" borderId="0" xfId="2" applyFont="1" applyFill="1" applyBorder="1" applyAlignment="1">
      <alignment vertical="center"/>
    </xf>
    <xf numFmtId="44" fontId="8" fillId="4" borderId="0" xfId="2" applyFont="1" applyFill="1" applyBorder="1" applyAlignment="1">
      <alignment vertical="center"/>
    </xf>
    <xf numFmtId="44" fontId="4" fillId="0" borderId="0" xfId="1" applyNumberFormat="1" applyFont="1" applyAlignment="1">
      <alignment vertical="center"/>
    </xf>
    <xf numFmtId="0" fontId="4" fillId="0" borderId="0" xfId="1" applyFont="1" applyFill="1" applyAlignment="1">
      <alignment vertical="center"/>
    </xf>
    <xf numFmtId="4" fontId="4" fillId="0" borderId="0" xfId="1" applyNumberFormat="1" applyFont="1" applyFill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4" fontId="7" fillId="0" borderId="0" xfId="1" applyNumberFormat="1" applyFont="1" applyFill="1" applyAlignment="1">
      <alignment vertical="center"/>
    </xf>
    <xf numFmtId="0" fontId="7" fillId="2" borderId="0" xfId="1" applyFont="1" applyFill="1" applyAlignment="1">
      <alignment horizontal="left" vertical="center"/>
    </xf>
    <xf numFmtId="0" fontId="4" fillId="2" borderId="0" xfId="1" applyFont="1" applyFill="1" applyAlignment="1">
      <alignment vertical="center"/>
    </xf>
    <xf numFmtId="0" fontId="7" fillId="0" borderId="0" xfId="1" applyFont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</cellXfs>
  <cellStyles count="49">
    <cellStyle name="Euro" xfId="5"/>
    <cellStyle name="Excel Built-in Normal" xfId="6"/>
    <cellStyle name="Millares 2" xfId="7"/>
    <cellStyle name="Millares 2 2" xfId="8"/>
    <cellStyle name="Millares 2 3" xfId="9"/>
    <cellStyle name="Millares 3" xfId="10"/>
    <cellStyle name="Millares 4" xfId="11"/>
    <cellStyle name="Millares 5" xfId="12"/>
    <cellStyle name="Millares 6" xfId="13"/>
    <cellStyle name="Moneda 2" xfId="2"/>
    <cellStyle name="Moneda 2 2" xfId="14"/>
    <cellStyle name="Moneda 3" xfId="15"/>
    <cellStyle name="Moneda 3 2" xfId="16"/>
    <cellStyle name="Moneda 3 2 2" xfId="17"/>
    <cellStyle name="Moneda 3 3" xfId="18"/>
    <cellStyle name="Moneda 3 3 2" xfId="19"/>
    <cellStyle name="Moneda 3 3 2 2" xfId="20"/>
    <cellStyle name="Moneda 3 3 3" xfId="21"/>
    <cellStyle name="Moneda 3 4" xfId="22"/>
    <cellStyle name="Moneda 4" xfId="4"/>
    <cellStyle name="Moneda 4 2" xfId="23"/>
    <cellStyle name="Moneda 4 2 2" xfId="24"/>
    <cellStyle name="Moneda 4 3" xfId="25"/>
    <cellStyle name="Moneda 5" xfId="26"/>
    <cellStyle name="Moneda 6" xfId="27"/>
    <cellStyle name="Normal" xfId="0" builtinId="0"/>
    <cellStyle name="Normal 10" xfId="28"/>
    <cellStyle name="Normal 10 2" xfId="29"/>
    <cellStyle name="Normal 11" xfId="30"/>
    <cellStyle name="Normal 12" xfId="31"/>
    <cellStyle name="Normal 13 2" xfId="32"/>
    <cellStyle name="Normal 2" xfId="3"/>
    <cellStyle name="Normal 2 2" xfId="33"/>
    <cellStyle name="Normal 2 3" xfId="34"/>
    <cellStyle name="Normal 2 4" xfId="35"/>
    <cellStyle name="Normal 3" xfId="36"/>
    <cellStyle name="Normal 3 2" xfId="37"/>
    <cellStyle name="Normal 4" xfId="38"/>
    <cellStyle name="Normal 4 2" xfId="39"/>
    <cellStyle name="Normal 4 3" xfId="40"/>
    <cellStyle name="Normal 5" xfId="41"/>
    <cellStyle name="Normal 6" xfId="42"/>
    <cellStyle name="Normal 7" xfId="43"/>
    <cellStyle name="Normal 8" xfId="44"/>
    <cellStyle name="Normal 9" xfId="45"/>
    <cellStyle name="Normal_~9885111" xfId="1"/>
    <cellStyle name="Porcentual 2" xfId="46"/>
    <cellStyle name="Porcentual 3" xfId="47"/>
    <cellStyle name="Porcentual 4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52221</xdr:colOff>
      <xdr:row>1</xdr:row>
      <xdr:rowOff>40085</xdr:rowOff>
    </xdr:from>
    <xdr:to>
      <xdr:col>4</xdr:col>
      <xdr:colOff>561937</xdr:colOff>
      <xdr:row>5</xdr:row>
      <xdr:rowOff>173494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21" y="336132"/>
          <a:ext cx="3650392" cy="1227497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dog_vidrio\Desktop\CENTRINF\Ci2002\Ingresos\Presupuesto%20de%20Ingresos\ESTADOS%20FINANCIEROS%202000\Septiembre\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rgas.CEPEGOB\Downloads\Documents\MARISELA%20VARGAS\1%20-%20JUNTAS%20DE%20GOBIERNO\0%20-%20JUNTA%20-%20AGOSTO%202013\PROCESO\046.2007%20LUISANA%20FLORES%20GONZALEZ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Mvargas.CEPEGOB\Downloads\Documents\MARISELA%20VARGAS\1%20-%20JUNTAS%20DE%20GOBIERNO\0%20-%20JUNTA%20-%20AGOSTO%202013\PROCESO\046.2007%20LUISANA%20FLORES%20GONZALEZ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\CENTRINF\Ci2002\Ingresos\Presupuesto%20de%20Ingresos\ESTADOS%20FINANCIEROS%202000\Septiembre\CUENTA%20PUBLICA%20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velasco\AppData\Local\Temp\notesF4CC6D\RENTA%20Nave%20Ind.%201%20y%202%20Luisana%20Frores%20Gonz&#225;lez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Cvelasco\AppData\Local\Temp\notesF4CC6D\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AG319"/>
  <sheetViews>
    <sheetView showGridLines="0" tabSelected="1" zoomScale="74" zoomScaleNormal="74" workbookViewId="0">
      <selection activeCell="G21" sqref="G21"/>
    </sheetView>
  </sheetViews>
  <sheetFormatPr baseColWidth="10" defaultColWidth="9.140625" defaultRowHeight="12.75"/>
  <cols>
    <col min="1" max="1" width="8.140625" style="5" customWidth="1"/>
    <col min="2" max="2" width="6.28515625" style="5" customWidth="1"/>
    <col min="3" max="3" width="9.28515625" style="5" bestFit="1" customWidth="1"/>
    <col min="4" max="4" width="23.28515625" style="2" customWidth="1"/>
    <col min="5" max="5" width="16.140625" style="2" customWidth="1"/>
    <col min="6" max="6" width="41.7109375" style="5" bestFit="1" customWidth="1"/>
    <col min="7" max="7" width="16.5703125" style="5" bestFit="1" customWidth="1"/>
    <col min="8" max="8" width="10.5703125" style="7" customWidth="1"/>
    <col min="9" max="9" width="16.5703125" style="7" bestFit="1" customWidth="1"/>
    <col min="10" max="10" width="13.7109375" style="7" customWidth="1"/>
    <col min="11" max="11" width="16.140625" style="2" bestFit="1" customWidth="1"/>
    <col min="12" max="12" width="14.7109375" style="2" customWidth="1"/>
    <col min="13" max="13" width="17.140625" style="2" customWidth="1"/>
    <col min="14" max="14" width="14.42578125" style="2" bestFit="1" customWidth="1"/>
    <col min="15" max="15" width="14.42578125" style="2" customWidth="1"/>
    <col min="16" max="16" width="14.85546875" style="2" bestFit="1" customWidth="1"/>
    <col min="17" max="17" width="13.5703125" style="2" bestFit="1" customWidth="1"/>
    <col min="18" max="18" width="12.42578125" style="2" customWidth="1"/>
    <col min="19" max="19" width="15.140625" style="2" bestFit="1" customWidth="1"/>
    <col min="20" max="21" width="15" style="2" customWidth="1"/>
    <col min="22" max="22" width="14.85546875" style="2" customWidth="1"/>
    <col min="23" max="23" width="21" style="2" bestFit="1" customWidth="1"/>
    <col min="24" max="24" width="21.28515625" style="2" hidden="1" customWidth="1"/>
    <col min="25" max="25" width="48.28515625" style="2" customWidth="1"/>
    <col min="26" max="26" width="16" style="2" bestFit="1" customWidth="1"/>
    <col min="27" max="16384" width="9.140625" style="2"/>
  </cols>
  <sheetData>
    <row r="1" spans="1:25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  <c r="P2" s="1"/>
      <c r="Q2" s="1"/>
      <c r="R2" s="1"/>
      <c r="S2" s="1"/>
    </row>
    <row r="3" spans="1:25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1"/>
      <c r="P3" s="1"/>
      <c r="Q3" s="1"/>
      <c r="R3" s="1"/>
      <c r="S3" s="1"/>
    </row>
    <row r="4" spans="1:25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1"/>
      <c r="P4" s="1"/>
      <c r="Q4" s="1"/>
      <c r="R4" s="1"/>
      <c r="S4" s="1"/>
    </row>
    <row r="5" spans="1:25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1"/>
      <c r="P5" s="1"/>
      <c r="Q5" s="1"/>
      <c r="R5" s="1"/>
      <c r="S5" s="1"/>
    </row>
    <row r="6" spans="1:25" ht="16.5" customHeight="1">
      <c r="A6" s="2"/>
      <c r="B6" s="2"/>
      <c r="C6" s="2"/>
      <c r="F6" s="2"/>
      <c r="G6" s="2"/>
      <c r="H6" s="2"/>
      <c r="I6" s="2"/>
      <c r="J6" s="2"/>
    </row>
    <row r="7" spans="1:25" ht="23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5" ht="24" customHeight="1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5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5" ht="24" customHeight="1" thickBot="1">
      <c r="A10" s="4" t="s">
        <v>1</v>
      </c>
      <c r="B10" s="8"/>
      <c r="C10" s="8"/>
      <c r="D10" s="8"/>
      <c r="F10" s="6"/>
      <c r="G10" s="9"/>
      <c r="H10" s="9"/>
      <c r="I10" s="9"/>
      <c r="J10" s="9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5" ht="69.75" customHeight="1" thickBot="1">
      <c r="G11" s="12" t="s">
        <v>2</v>
      </c>
      <c r="H11" s="13"/>
      <c r="I11" s="13"/>
      <c r="J11" s="13"/>
      <c r="K11" s="13"/>
      <c r="L11" s="13"/>
      <c r="M11" s="13"/>
      <c r="N11" s="13"/>
      <c r="O11" s="13"/>
      <c r="P11" s="13"/>
      <c r="Q11" s="14"/>
      <c r="S11" s="15" t="s">
        <v>3</v>
      </c>
      <c r="T11" s="16"/>
      <c r="U11" s="16"/>
      <c r="V11" s="17"/>
    </row>
    <row r="12" spans="1:25" s="22" customFormat="1" ht="80.25" customHeight="1" thickBot="1">
      <c r="A12" s="18" t="s">
        <v>4</v>
      </c>
      <c r="B12" s="18" t="s">
        <v>5</v>
      </c>
      <c r="C12" s="18" t="s">
        <v>6</v>
      </c>
      <c r="D12" s="18" t="s">
        <v>59</v>
      </c>
      <c r="E12" s="18" t="s">
        <v>7</v>
      </c>
      <c r="F12" s="18" t="s">
        <v>8</v>
      </c>
      <c r="G12" s="18" t="s">
        <v>9</v>
      </c>
      <c r="H12" s="19" t="s">
        <v>10</v>
      </c>
      <c r="I12" s="19" t="s">
        <v>11</v>
      </c>
      <c r="J12" s="19" t="s">
        <v>12</v>
      </c>
      <c r="K12" s="19" t="s">
        <v>13</v>
      </c>
      <c r="L12" s="19" t="s">
        <v>14</v>
      </c>
      <c r="M12" s="19" t="s">
        <v>15</v>
      </c>
      <c r="N12" s="19" t="s">
        <v>16</v>
      </c>
      <c r="O12" s="19" t="s">
        <v>17</v>
      </c>
      <c r="P12" s="19" t="s">
        <v>18</v>
      </c>
      <c r="Q12" s="19" t="s">
        <v>19</v>
      </c>
      <c r="R12" s="19" t="s">
        <v>20</v>
      </c>
      <c r="S12" s="19" t="s">
        <v>21</v>
      </c>
      <c r="T12" s="19" t="s">
        <v>22</v>
      </c>
      <c r="U12" s="19" t="s">
        <v>23</v>
      </c>
      <c r="V12" s="19" t="s">
        <v>24</v>
      </c>
      <c r="W12" s="20" t="s">
        <v>25</v>
      </c>
      <c r="X12" s="21" t="s">
        <v>26</v>
      </c>
    </row>
    <row r="13" spans="1:25" s="35" customFormat="1" ht="29.25" customHeight="1">
      <c r="A13" s="23">
        <v>28</v>
      </c>
      <c r="B13" s="24">
        <v>40</v>
      </c>
      <c r="C13" s="24" t="s">
        <v>27</v>
      </c>
      <c r="D13" s="25" t="s">
        <v>28</v>
      </c>
      <c r="E13" s="24">
        <v>1</v>
      </c>
      <c r="F13" s="26"/>
      <c r="G13" s="27">
        <f>63240</f>
        <v>63240</v>
      </c>
      <c r="H13" s="28">
        <v>0</v>
      </c>
      <c r="I13" s="28">
        <f t="shared" ref="I13:I38" si="0">+G13+H13</f>
        <v>63240</v>
      </c>
      <c r="J13" s="29">
        <v>1725.58</v>
      </c>
      <c r="K13" s="30">
        <f>(I13+Q13)*17.5%</f>
        <v>11509.68</v>
      </c>
      <c r="L13" s="30">
        <f t="shared" ref="L13:L38" si="1">(I13+Q13)*3%</f>
        <v>1973.0880000000002</v>
      </c>
      <c r="M13" s="30">
        <f>(1657.48/30*61)/2*1.04</f>
        <v>1752.5088533333333</v>
      </c>
      <c r="N13" s="30">
        <f>(88.04*30)/2</f>
        <v>1320.6000000000001</v>
      </c>
      <c r="O13" s="30">
        <v>2832</v>
      </c>
      <c r="P13" s="30">
        <v>1992</v>
      </c>
      <c r="Q13" s="31">
        <f>G13*4%</f>
        <v>2529.6</v>
      </c>
      <c r="R13" s="30">
        <f>I13+K13+L13+M13+N13+O13+P13</f>
        <v>84619.876853333335</v>
      </c>
      <c r="S13" s="30">
        <f>Q13*12</f>
        <v>30355.199999999997</v>
      </c>
      <c r="T13" s="31">
        <f t="shared" ref="T13:T38" si="2">(I13+Q13)/30*50</f>
        <v>109616.00000000001</v>
      </c>
      <c r="U13" s="31">
        <f t="shared" ref="U13:U38" si="3">(I13+Q13)/30*5</f>
        <v>10961.6</v>
      </c>
      <c r="V13" s="31"/>
      <c r="W13" s="32">
        <f t="shared" ref="W13:W38" si="4">(R13*12)+S13+T13+U13+V13+J13</f>
        <v>1168096.9022400002</v>
      </c>
      <c r="X13" s="33">
        <f>(G13+O13+P13)/30*20</f>
        <v>45376</v>
      </c>
      <c r="Y13" s="34"/>
    </row>
    <row r="14" spans="1:25" s="35" customFormat="1" ht="29.25" customHeight="1">
      <c r="A14" s="36">
        <v>24</v>
      </c>
      <c r="B14" s="37">
        <v>40</v>
      </c>
      <c r="C14" s="37" t="s">
        <v>27</v>
      </c>
      <c r="D14" s="38" t="s">
        <v>29</v>
      </c>
      <c r="E14" s="37">
        <v>1</v>
      </c>
      <c r="F14" s="37" t="s">
        <v>30</v>
      </c>
      <c r="G14" s="39">
        <f>42280</f>
        <v>42280</v>
      </c>
      <c r="H14" s="40">
        <v>0</v>
      </c>
      <c r="I14" s="40">
        <f t="shared" si="0"/>
        <v>42280</v>
      </c>
      <c r="J14" s="41">
        <v>1661.02</v>
      </c>
      <c r="K14" s="42">
        <f t="shared" ref="K14:K38" si="5">(I14+Q14)*17.5%</f>
        <v>7694.9599999999991</v>
      </c>
      <c r="L14" s="42">
        <f t="shared" si="1"/>
        <v>1319.136</v>
      </c>
      <c r="M14" s="42">
        <f>(1567.47/30*61)/2*1.04</f>
        <v>1657.3382800000002</v>
      </c>
      <c r="N14" s="42">
        <f t="shared" ref="N14:N38" si="6">(I14+Q14)*2%</f>
        <v>879.42399999999998</v>
      </c>
      <c r="O14" s="42">
        <v>1865</v>
      </c>
      <c r="P14" s="42">
        <v>1345</v>
      </c>
      <c r="Q14" s="43">
        <f>G14*4%</f>
        <v>1691.2</v>
      </c>
      <c r="R14" s="42">
        <f t="shared" ref="R14:R38" si="7">I14+K14+L14+M14+N14+O14+P14</f>
        <v>57040.85828</v>
      </c>
      <c r="S14" s="42">
        <f>Q14*12</f>
        <v>20294.400000000001</v>
      </c>
      <c r="T14" s="43">
        <f t="shared" si="2"/>
        <v>73285.333333333328</v>
      </c>
      <c r="U14" s="43">
        <f t="shared" si="3"/>
        <v>7328.5333333333328</v>
      </c>
      <c r="V14" s="43">
        <f t="shared" ref="V14:V38" si="8">(I14+Q14)/30*15</f>
        <v>21985.599999999999</v>
      </c>
      <c r="W14" s="44">
        <f t="shared" si="4"/>
        <v>809045.18602666678</v>
      </c>
      <c r="X14" s="33">
        <f t="shared" ref="X14:X38" si="9">(G14+O14+P14)/30*20</f>
        <v>30326.666666666664</v>
      </c>
    </row>
    <row r="15" spans="1:25" s="35" customFormat="1" ht="29.25" customHeight="1">
      <c r="A15" s="36">
        <v>24</v>
      </c>
      <c r="B15" s="37">
        <v>40</v>
      </c>
      <c r="C15" s="37" t="s">
        <v>27</v>
      </c>
      <c r="D15" s="45" t="s">
        <v>31</v>
      </c>
      <c r="E15" s="37">
        <v>1</v>
      </c>
      <c r="F15" s="37" t="s">
        <v>29</v>
      </c>
      <c r="G15" s="39">
        <f>42280</f>
        <v>42280</v>
      </c>
      <c r="H15" s="40">
        <v>0</v>
      </c>
      <c r="I15" s="40">
        <f t="shared" si="0"/>
        <v>42280</v>
      </c>
      <c r="J15" s="41"/>
      <c r="K15" s="42">
        <f t="shared" si="5"/>
        <v>7694.9599999999991</v>
      </c>
      <c r="L15" s="42">
        <f t="shared" si="1"/>
        <v>1319.136</v>
      </c>
      <c r="M15" s="42">
        <f>(1567.47/30*61)/2*1.04</f>
        <v>1657.3382800000002</v>
      </c>
      <c r="N15" s="42">
        <f t="shared" si="6"/>
        <v>879.42399999999998</v>
      </c>
      <c r="O15" s="42">
        <v>1865</v>
      </c>
      <c r="P15" s="42">
        <v>1345</v>
      </c>
      <c r="Q15" s="43">
        <f t="shared" ref="Q15:Q38" si="10">G15*4%</f>
        <v>1691.2</v>
      </c>
      <c r="R15" s="42">
        <f t="shared" si="7"/>
        <v>57040.85828</v>
      </c>
      <c r="S15" s="42">
        <f t="shared" ref="S15:S38" si="11">Q15*12</f>
        <v>20294.400000000001</v>
      </c>
      <c r="T15" s="43">
        <f t="shared" si="2"/>
        <v>73285.333333333328</v>
      </c>
      <c r="U15" s="43">
        <f t="shared" si="3"/>
        <v>7328.5333333333328</v>
      </c>
      <c r="V15" s="43">
        <f t="shared" si="8"/>
        <v>21985.599999999999</v>
      </c>
      <c r="W15" s="44">
        <f t="shared" si="4"/>
        <v>807384.16602666676</v>
      </c>
      <c r="X15" s="33">
        <f t="shared" si="9"/>
        <v>30326.666666666664</v>
      </c>
      <c r="Y15" s="46"/>
    </row>
    <row r="16" spans="1:25" s="47" customFormat="1" ht="29.25" customHeight="1">
      <c r="A16" s="36">
        <v>21</v>
      </c>
      <c r="B16" s="37">
        <v>40</v>
      </c>
      <c r="C16" s="37" t="s">
        <v>27</v>
      </c>
      <c r="D16" s="45" t="s">
        <v>32</v>
      </c>
      <c r="E16" s="37">
        <v>1</v>
      </c>
      <c r="F16" s="37" t="s">
        <v>29</v>
      </c>
      <c r="G16" s="39">
        <f>30883</f>
        <v>30883</v>
      </c>
      <c r="H16" s="40">
        <v>0</v>
      </c>
      <c r="I16" s="40">
        <f t="shared" si="0"/>
        <v>30883</v>
      </c>
      <c r="J16" s="41">
        <v>1455.59</v>
      </c>
      <c r="K16" s="42">
        <f t="shared" si="5"/>
        <v>5620.7059999999992</v>
      </c>
      <c r="L16" s="42">
        <f t="shared" si="1"/>
        <v>963.54959999999994</v>
      </c>
      <c r="M16" s="42">
        <f>(1249.73/30*61)/2*1.04</f>
        <v>1321.3811866666667</v>
      </c>
      <c r="N16" s="42">
        <f t="shared" si="6"/>
        <v>642.3664</v>
      </c>
      <c r="O16" s="42">
        <v>1671</v>
      </c>
      <c r="P16" s="42">
        <v>1133</v>
      </c>
      <c r="Q16" s="43">
        <f t="shared" si="10"/>
        <v>1235.32</v>
      </c>
      <c r="R16" s="42">
        <f t="shared" si="7"/>
        <v>42235.003186666661</v>
      </c>
      <c r="S16" s="42">
        <f t="shared" si="11"/>
        <v>14823.84</v>
      </c>
      <c r="T16" s="43">
        <f t="shared" si="2"/>
        <v>53530.533333333333</v>
      </c>
      <c r="U16" s="43">
        <f t="shared" si="3"/>
        <v>5353.0533333333333</v>
      </c>
      <c r="V16" s="43">
        <f t="shared" si="8"/>
        <v>16059.16</v>
      </c>
      <c r="W16" s="44">
        <f t="shared" si="4"/>
        <v>598042.21490666666</v>
      </c>
      <c r="X16" s="33">
        <f t="shared" si="9"/>
        <v>22458</v>
      </c>
    </row>
    <row r="17" spans="1:25" ht="29.25" customHeight="1">
      <c r="A17" s="36">
        <v>21</v>
      </c>
      <c r="B17" s="37">
        <v>40</v>
      </c>
      <c r="C17" s="37" t="s">
        <v>27</v>
      </c>
      <c r="D17" s="38" t="s">
        <v>33</v>
      </c>
      <c r="E17" s="37">
        <v>1</v>
      </c>
      <c r="F17" s="37" t="s">
        <v>29</v>
      </c>
      <c r="G17" s="39">
        <f>30883</f>
        <v>30883</v>
      </c>
      <c r="H17" s="40">
        <v>0</v>
      </c>
      <c r="I17" s="40">
        <f t="shared" si="0"/>
        <v>30883</v>
      </c>
      <c r="J17" s="41">
        <v>1496.68</v>
      </c>
      <c r="K17" s="42">
        <f t="shared" si="5"/>
        <v>5620.7059999999992</v>
      </c>
      <c r="L17" s="42">
        <f t="shared" si="1"/>
        <v>963.54959999999994</v>
      </c>
      <c r="M17" s="42">
        <f>(1249.73/30*61)/2*1.04</f>
        <v>1321.3811866666667</v>
      </c>
      <c r="N17" s="42">
        <f t="shared" si="6"/>
        <v>642.3664</v>
      </c>
      <c r="O17" s="42">
        <v>1671</v>
      </c>
      <c r="P17" s="42">
        <v>1133</v>
      </c>
      <c r="Q17" s="43">
        <f t="shared" si="10"/>
        <v>1235.32</v>
      </c>
      <c r="R17" s="42">
        <f t="shared" si="7"/>
        <v>42235.003186666661</v>
      </c>
      <c r="S17" s="42">
        <f t="shared" si="11"/>
        <v>14823.84</v>
      </c>
      <c r="T17" s="43">
        <f t="shared" si="2"/>
        <v>53530.533333333333</v>
      </c>
      <c r="U17" s="43">
        <f t="shared" si="3"/>
        <v>5353.0533333333333</v>
      </c>
      <c r="V17" s="43">
        <f t="shared" si="8"/>
        <v>16059.16</v>
      </c>
      <c r="W17" s="44">
        <f t="shared" si="4"/>
        <v>598083.30490666674</v>
      </c>
      <c r="X17" s="33">
        <f t="shared" si="9"/>
        <v>22458</v>
      </c>
    </row>
    <row r="18" spans="1:25" ht="29.25" customHeight="1">
      <c r="A18" s="36">
        <v>21</v>
      </c>
      <c r="B18" s="37">
        <v>40</v>
      </c>
      <c r="C18" s="37" t="s">
        <v>27</v>
      </c>
      <c r="D18" s="48" t="s">
        <v>34</v>
      </c>
      <c r="E18" s="37">
        <v>1</v>
      </c>
      <c r="F18" s="37" t="s">
        <v>29</v>
      </c>
      <c r="G18" s="39">
        <f>30883</f>
        <v>30883</v>
      </c>
      <c r="H18" s="40">
        <v>0</v>
      </c>
      <c r="I18" s="40">
        <f t="shared" si="0"/>
        <v>30883</v>
      </c>
      <c r="J18" s="41">
        <v>1661.02</v>
      </c>
      <c r="K18" s="42">
        <f t="shared" si="5"/>
        <v>5620.7059999999992</v>
      </c>
      <c r="L18" s="42">
        <f t="shared" si="1"/>
        <v>963.54959999999994</v>
      </c>
      <c r="M18" s="42">
        <f>(1249.73/30*61)/2*1.04</f>
        <v>1321.3811866666667</v>
      </c>
      <c r="N18" s="42">
        <f t="shared" si="6"/>
        <v>642.3664</v>
      </c>
      <c r="O18" s="42">
        <v>1671</v>
      </c>
      <c r="P18" s="42">
        <v>1133</v>
      </c>
      <c r="Q18" s="43">
        <f t="shared" si="10"/>
        <v>1235.32</v>
      </c>
      <c r="R18" s="42">
        <f t="shared" si="7"/>
        <v>42235.003186666661</v>
      </c>
      <c r="S18" s="42">
        <f t="shared" si="11"/>
        <v>14823.84</v>
      </c>
      <c r="T18" s="43">
        <f t="shared" si="2"/>
        <v>53530.533333333333</v>
      </c>
      <c r="U18" s="43">
        <f t="shared" si="3"/>
        <v>5353.0533333333333</v>
      </c>
      <c r="V18" s="43">
        <f t="shared" si="8"/>
        <v>16059.16</v>
      </c>
      <c r="W18" s="44">
        <f t="shared" si="4"/>
        <v>598247.64490666671</v>
      </c>
      <c r="X18" s="33">
        <f t="shared" si="9"/>
        <v>22458</v>
      </c>
    </row>
    <row r="19" spans="1:25" ht="29.25" customHeight="1">
      <c r="A19" s="36">
        <v>21</v>
      </c>
      <c r="B19" s="37">
        <v>40</v>
      </c>
      <c r="C19" s="37" t="s">
        <v>27</v>
      </c>
      <c r="D19" s="48" t="s">
        <v>35</v>
      </c>
      <c r="E19" s="37">
        <v>1</v>
      </c>
      <c r="F19" s="37" t="s">
        <v>29</v>
      </c>
      <c r="G19" s="39">
        <f>30883</f>
        <v>30883</v>
      </c>
      <c r="H19" s="40">
        <v>0</v>
      </c>
      <c r="I19" s="40">
        <f t="shared" si="0"/>
        <v>30883</v>
      </c>
      <c r="J19" s="41">
        <v>1496.68</v>
      </c>
      <c r="K19" s="42">
        <f t="shared" si="5"/>
        <v>5620.7059999999992</v>
      </c>
      <c r="L19" s="42">
        <f t="shared" si="1"/>
        <v>963.54959999999994</v>
      </c>
      <c r="M19" s="42">
        <f>(1249.73/30*61)/2*1.04</f>
        <v>1321.3811866666667</v>
      </c>
      <c r="N19" s="42">
        <f t="shared" si="6"/>
        <v>642.3664</v>
      </c>
      <c r="O19" s="42">
        <v>1671</v>
      </c>
      <c r="P19" s="42">
        <v>1133</v>
      </c>
      <c r="Q19" s="43">
        <f t="shared" si="10"/>
        <v>1235.32</v>
      </c>
      <c r="R19" s="42">
        <f t="shared" si="7"/>
        <v>42235.003186666661</v>
      </c>
      <c r="S19" s="42">
        <f t="shared" si="11"/>
        <v>14823.84</v>
      </c>
      <c r="T19" s="43">
        <f t="shared" si="2"/>
        <v>53530.533333333333</v>
      </c>
      <c r="U19" s="43">
        <f t="shared" si="3"/>
        <v>5353.0533333333333</v>
      </c>
      <c r="V19" s="43">
        <f t="shared" si="8"/>
        <v>16059.16</v>
      </c>
      <c r="W19" s="44">
        <f t="shared" si="4"/>
        <v>598083.30490666674</v>
      </c>
      <c r="X19" s="33">
        <f t="shared" si="9"/>
        <v>22458</v>
      </c>
    </row>
    <row r="20" spans="1:25" ht="29.25" customHeight="1">
      <c r="A20" s="49">
        <v>16</v>
      </c>
      <c r="B20" s="37">
        <v>40</v>
      </c>
      <c r="C20" s="37" t="s">
        <v>27</v>
      </c>
      <c r="D20" s="50" t="s">
        <v>36</v>
      </c>
      <c r="E20" s="37">
        <v>1</v>
      </c>
      <c r="F20" s="51" t="s">
        <v>37</v>
      </c>
      <c r="G20" s="39">
        <f>17213</f>
        <v>17213</v>
      </c>
      <c r="H20" s="40">
        <v>0</v>
      </c>
      <c r="I20" s="40">
        <f t="shared" si="0"/>
        <v>17213</v>
      </c>
      <c r="J20" s="41">
        <v>4225.92</v>
      </c>
      <c r="K20" s="42">
        <f t="shared" si="5"/>
        <v>3132.7660000000001</v>
      </c>
      <c r="L20" s="42">
        <f t="shared" si="1"/>
        <v>537.04560000000004</v>
      </c>
      <c r="M20" s="42">
        <f>(862.65/30*61)/2*1.04</f>
        <v>912.10859999999991</v>
      </c>
      <c r="N20" s="42">
        <f t="shared" si="6"/>
        <v>358.03040000000004</v>
      </c>
      <c r="O20" s="42">
        <v>1247</v>
      </c>
      <c r="P20" s="42">
        <v>779</v>
      </c>
      <c r="Q20" s="43">
        <f t="shared" si="10"/>
        <v>688.52</v>
      </c>
      <c r="R20" s="42">
        <f t="shared" si="7"/>
        <v>24178.9506</v>
      </c>
      <c r="S20" s="42">
        <f t="shared" si="11"/>
        <v>8262.24</v>
      </c>
      <c r="T20" s="43">
        <f t="shared" si="2"/>
        <v>29835.866666666669</v>
      </c>
      <c r="U20" s="43">
        <f t="shared" si="3"/>
        <v>2983.586666666667</v>
      </c>
      <c r="V20" s="43">
        <f t="shared" si="8"/>
        <v>8950.76</v>
      </c>
      <c r="W20" s="44">
        <f t="shared" si="4"/>
        <v>344405.78053333337</v>
      </c>
      <c r="X20" s="33">
        <f t="shared" si="9"/>
        <v>12826</v>
      </c>
    </row>
    <row r="21" spans="1:25" ht="29.25" customHeight="1">
      <c r="A21" s="36">
        <v>16</v>
      </c>
      <c r="B21" s="37">
        <v>40</v>
      </c>
      <c r="C21" s="37" t="s">
        <v>27</v>
      </c>
      <c r="D21" s="45" t="s">
        <v>38</v>
      </c>
      <c r="E21" s="37">
        <v>1</v>
      </c>
      <c r="F21" s="51" t="s">
        <v>39</v>
      </c>
      <c r="G21" s="39">
        <f>17213</f>
        <v>17213</v>
      </c>
      <c r="H21" s="40">
        <v>0</v>
      </c>
      <c r="I21" s="40">
        <f t="shared" si="0"/>
        <v>17213</v>
      </c>
      <c r="J21" s="41">
        <v>3169.44</v>
      </c>
      <c r="K21" s="42">
        <f t="shared" si="5"/>
        <v>3132.7660000000001</v>
      </c>
      <c r="L21" s="42">
        <f t="shared" si="1"/>
        <v>537.04560000000004</v>
      </c>
      <c r="M21" s="42">
        <f>(861.4/30*61)/2*1.04</f>
        <v>910.7869333333332</v>
      </c>
      <c r="N21" s="42">
        <f t="shared" si="6"/>
        <v>358.03040000000004</v>
      </c>
      <c r="O21" s="42">
        <v>1247</v>
      </c>
      <c r="P21" s="42">
        <v>779</v>
      </c>
      <c r="Q21" s="43">
        <f t="shared" si="10"/>
        <v>688.52</v>
      </c>
      <c r="R21" s="42">
        <f t="shared" si="7"/>
        <v>24177.628933333333</v>
      </c>
      <c r="S21" s="42">
        <f t="shared" si="11"/>
        <v>8262.24</v>
      </c>
      <c r="T21" s="43">
        <f t="shared" si="2"/>
        <v>29835.866666666669</v>
      </c>
      <c r="U21" s="43">
        <f t="shared" si="3"/>
        <v>2983.586666666667</v>
      </c>
      <c r="V21" s="43">
        <f t="shared" si="8"/>
        <v>8950.76</v>
      </c>
      <c r="W21" s="44">
        <f t="shared" si="4"/>
        <v>343333.4405333334</v>
      </c>
      <c r="X21" s="33">
        <f t="shared" si="9"/>
        <v>12826</v>
      </c>
    </row>
    <row r="22" spans="1:25" ht="29.25" customHeight="1">
      <c r="A22" s="36">
        <v>16</v>
      </c>
      <c r="B22" s="37">
        <v>40</v>
      </c>
      <c r="C22" s="37" t="s">
        <v>27</v>
      </c>
      <c r="D22" s="48" t="s">
        <v>36</v>
      </c>
      <c r="E22" s="37">
        <v>1</v>
      </c>
      <c r="F22" s="51" t="s">
        <v>37</v>
      </c>
      <c r="G22" s="39">
        <f>17213</f>
        <v>17213</v>
      </c>
      <c r="H22" s="40">
        <v>0</v>
      </c>
      <c r="I22" s="40">
        <f t="shared" si="0"/>
        <v>17213</v>
      </c>
      <c r="J22" s="41">
        <v>3169.44</v>
      </c>
      <c r="K22" s="42">
        <f t="shared" si="5"/>
        <v>3132.7660000000001</v>
      </c>
      <c r="L22" s="42">
        <f t="shared" si="1"/>
        <v>537.04560000000004</v>
      </c>
      <c r="M22" s="42">
        <f>(862.27/30*61)/2*1.04</f>
        <v>911.70681333333323</v>
      </c>
      <c r="N22" s="42">
        <f t="shared" si="6"/>
        <v>358.03040000000004</v>
      </c>
      <c r="O22" s="42">
        <v>1247</v>
      </c>
      <c r="P22" s="42">
        <v>779</v>
      </c>
      <c r="Q22" s="43">
        <f t="shared" si="10"/>
        <v>688.52</v>
      </c>
      <c r="R22" s="42">
        <f t="shared" si="7"/>
        <v>24178.548813333335</v>
      </c>
      <c r="S22" s="42">
        <f t="shared" si="11"/>
        <v>8262.24</v>
      </c>
      <c r="T22" s="43">
        <f t="shared" si="2"/>
        <v>29835.866666666669</v>
      </c>
      <c r="U22" s="43">
        <f t="shared" si="3"/>
        <v>2983.586666666667</v>
      </c>
      <c r="V22" s="43">
        <f t="shared" si="8"/>
        <v>8950.76</v>
      </c>
      <c r="W22" s="44">
        <f t="shared" si="4"/>
        <v>343344.47909333342</v>
      </c>
      <c r="X22" s="33">
        <f t="shared" si="9"/>
        <v>12826</v>
      </c>
    </row>
    <row r="23" spans="1:25" ht="29.25" customHeight="1">
      <c r="A23" s="36">
        <v>16</v>
      </c>
      <c r="B23" s="37">
        <v>40</v>
      </c>
      <c r="C23" s="37" t="s">
        <v>27</v>
      </c>
      <c r="D23" s="50" t="s">
        <v>36</v>
      </c>
      <c r="E23" s="37">
        <v>1</v>
      </c>
      <c r="F23" s="51" t="s">
        <v>37</v>
      </c>
      <c r="G23" s="39">
        <f>17213</f>
        <v>17213</v>
      </c>
      <c r="H23" s="40">
        <v>0</v>
      </c>
      <c r="I23" s="40">
        <f t="shared" si="0"/>
        <v>17213</v>
      </c>
      <c r="J23" s="41">
        <v>3169.44</v>
      </c>
      <c r="K23" s="42">
        <f t="shared" si="5"/>
        <v>3132.7660000000001</v>
      </c>
      <c r="L23" s="42">
        <f t="shared" si="1"/>
        <v>537.04560000000004</v>
      </c>
      <c r="M23" s="42">
        <f>(861.32/30*61)/2*1.04</f>
        <v>910.7023466666667</v>
      </c>
      <c r="N23" s="42">
        <f t="shared" si="6"/>
        <v>358.03040000000004</v>
      </c>
      <c r="O23" s="42">
        <v>1247</v>
      </c>
      <c r="P23" s="42">
        <v>779</v>
      </c>
      <c r="Q23" s="43">
        <f t="shared" si="10"/>
        <v>688.52</v>
      </c>
      <c r="R23" s="42">
        <f t="shared" si="7"/>
        <v>24177.544346666666</v>
      </c>
      <c r="S23" s="42">
        <f t="shared" si="11"/>
        <v>8262.24</v>
      </c>
      <c r="T23" s="43">
        <f t="shared" si="2"/>
        <v>29835.866666666669</v>
      </c>
      <c r="U23" s="43">
        <f t="shared" si="3"/>
        <v>2983.586666666667</v>
      </c>
      <c r="V23" s="43">
        <f t="shared" si="8"/>
        <v>8950.76</v>
      </c>
      <c r="W23" s="44">
        <f t="shared" si="4"/>
        <v>343332.42549333331</v>
      </c>
      <c r="X23" s="33">
        <f t="shared" si="9"/>
        <v>12826</v>
      </c>
    </row>
    <row r="24" spans="1:25" ht="29.25" customHeight="1">
      <c r="A24" s="36">
        <v>15</v>
      </c>
      <c r="B24" s="37">
        <v>40</v>
      </c>
      <c r="C24" s="37" t="s">
        <v>27</v>
      </c>
      <c r="D24" s="38" t="s">
        <v>40</v>
      </c>
      <c r="E24" s="37">
        <v>1</v>
      </c>
      <c r="F24" s="51" t="s">
        <v>41</v>
      </c>
      <c r="G24" s="39">
        <f>15425</f>
        <v>15425</v>
      </c>
      <c r="H24" s="40">
        <v>0</v>
      </c>
      <c r="I24" s="40">
        <f t="shared" si="0"/>
        <v>15425</v>
      </c>
      <c r="J24" s="41">
        <v>3169.44</v>
      </c>
      <c r="K24" s="42">
        <f t="shared" si="5"/>
        <v>2807.35</v>
      </c>
      <c r="L24" s="42">
        <f t="shared" si="1"/>
        <v>481.26</v>
      </c>
      <c r="M24" s="42">
        <f>(810.45/30*61)/2*1.04</f>
        <v>856.91579999999999</v>
      </c>
      <c r="N24" s="42">
        <f t="shared" si="6"/>
        <v>320.84000000000003</v>
      </c>
      <c r="O24" s="42">
        <v>1206</v>
      </c>
      <c r="P24" s="42">
        <v>755</v>
      </c>
      <c r="Q24" s="43">
        <f t="shared" si="10"/>
        <v>617</v>
      </c>
      <c r="R24" s="42">
        <f t="shared" si="7"/>
        <v>21852.365799999996</v>
      </c>
      <c r="S24" s="42">
        <f t="shared" si="11"/>
        <v>7404</v>
      </c>
      <c r="T24" s="43">
        <f t="shared" si="2"/>
        <v>26736.666666666668</v>
      </c>
      <c r="U24" s="43">
        <f t="shared" si="3"/>
        <v>2673.666666666667</v>
      </c>
      <c r="V24" s="43">
        <f t="shared" si="8"/>
        <v>8021</v>
      </c>
      <c r="W24" s="44">
        <f t="shared" si="4"/>
        <v>310233.16293333331</v>
      </c>
      <c r="X24" s="33">
        <f t="shared" si="9"/>
        <v>11590.666666666666</v>
      </c>
    </row>
    <row r="25" spans="1:25" ht="29.25" customHeight="1">
      <c r="A25" s="36">
        <v>15</v>
      </c>
      <c r="B25" s="37">
        <v>40</v>
      </c>
      <c r="C25" s="37" t="s">
        <v>27</v>
      </c>
      <c r="D25" s="38" t="s">
        <v>40</v>
      </c>
      <c r="E25" s="37">
        <v>1</v>
      </c>
      <c r="F25" s="51" t="s">
        <v>41</v>
      </c>
      <c r="G25" s="39">
        <f>15425</f>
        <v>15425</v>
      </c>
      <c r="H25" s="40">
        <v>0</v>
      </c>
      <c r="I25" s="40">
        <f t="shared" si="0"/>
        <v>15425</v>
      </c>
      <c r="J25" s="41">
        <v>3169.44</v>
      </c>
      <c r="K25" s="42">
        <f t="shared" si="5"/>
        <v>2807.35</v>
      </c>
      <c r="L25" s="42">
        <f t="shared" si="1"/>
        <v>481.26</v>
      </c>
      <c r="M25" s="42">
        <f>(811.79/30*61)/2*1.04</f>
        <v>858.33262666666656</v>
      </c>
      <c r="N25" s="42">
        <f t="shared" si="6"/>
        <v>320.84000000000003</v>
      </c>
      <c r="O25" s="42">
        <v>1206</v>
      </c>
      <c r="P25" s="42">
        <v>755</v>
      </c>
      <c r="Q25" s="43">
        <f t="shared" si="10"/>
        <v>617</v>
      </c>
      <c r="R25" s="42">
        <f t="shared" si="7"/>
        <v>21853.782626666663</v>
      </c>
      <c r="S25" s="42">
        <f t="shared" si="11"/>
        <v>7404</v>
      </c>
      <c r="T25" s="43">
        <f t="shared" si="2"/>
        <v>26736.666666666668</v>
      </c>
      <c r="U25" s="43">
        <f t="shared" si="3"/>
        <v>2673.666666666667</v>
      </c>
      <c r="V25" s="43">
        <f t="shared" si="8"/>
        <v>8021</v>
      </c>
      <c r="W25" s="44">
        <f t="shared" si="4"/>
        <v>310250.16485333332</v>
      </c>
      <c r="X25" s="33">
        <f t="shared" si="9"/>
        <v>11590.666666666666</v>
      </c>
    </row>
    <row r="26" spans="1:25" ht="29.25" customHeight="1">
      <c r="A26" s="36">
        <v>15</v>
      </c>
      <c r="B26" s="37">
        <v>40</v>
      </c>
      <c r="C26" s="37" t="s">
        <v>27</v>
      </c>
      <c r="D26" s="38" t="s">
        <v>40</v>
      </c>
      <c r="E26" s="37">
        <v>1</v>
      </c>
      <c r="F26" s="51" t="s">
        <v>41</v>
      </c>
      <c r="G26" s="39">
        <f>15425</f>
        <v>15425</v>
      </c>
      <c r="H26" s="40">
        <v>0</v>
      </c>
      <c r="I26" s="40">
        <f t="shared" si="0"/>
        <v>15425</v>
      </c>
      <c r="J26" s="41">
        <v>4225.92</v>
      </c>
      <c r="K26" s="42">
        <f t="shared" si="5"/>
        <v>2807.35</v>
      </c>
      <c r="L26" s="42">
        <f t="shared" si="1"/>
        <v>481.26</v>
      </c>
      <c r="M26" s="42">
        <f>(812.86/30*61)/2*1.04</f>
        <v>859.46397333333334</v>
      </c>
      <c r="N26" s="42">
        <f t="shared" si="6"/>
        <v>320.84000000000003</v>
      </c>
      <c r="O26" s="42">
        <v>1206</v>
      </c>
      <c r="P26" s="42">
        <v>755</v>
      </c>
      <c r="Q26" s="43">
        <f t="shared" si="10"/>
        <v>617</v>
      </c>
      <c r="R26" s="42">
        <f t="shared" si="7"/>
        <v>21854.913973333332</v>
      </c>
      <c r="S26" s="42">
        <f t="shared" si="11"/>
        <v>7404</v>
      </c>
      <c r="T26" s="43">
        <f t="shared" si="2"/>
        <v>26736.666666666668</v>
      </c>
      <c r="U26" s="43">
        <f t="shared" si="3"/>
        <v>2673.666666666667</v>
      </c>
      <c r="V26" s="43">
        <f t="shared" si="8"/>
        <v>8021</v>
      </c>
      <c r="W26" s="44">
        <f t="shared" si="4"/>
        <v>311320.22101333336</v>
      </c>
      <c r="X26" s="33">
        <f t="shared" si="9"/>
        <v>11590.666666666666</v>
      </c>
    </row>
    <row r="27" spans="1:25" ht="29.25" customHeight="1">
      <c r="A27" s="36">
        <v>15</v>
      </c>
      <c r="B27" s="37">
        <v>40</v>
      </c>
      <c r="C27" s="37" t="s">
        <v>27</v>
      </c>
      <c r="D27" s="48" t="s">
        <v>42</v>
      </c>
      <c r="E27" s="37">
        <v>1</v>
      </c>
      <c r="F27" s="51" t="s">
        <v>39</v>
      </c>
      <c r="G27" s="39">
        <f>15425</f>
        <v>15425</v>
      </c>
      <c r="H27" s="40">
        <v>0</v>
      </c>
      <c r="I27" s="40">
        <f t="shared" si="0"/>
        <v>15425</v>
      </c>
      <c r="J27" s="41">
        <v>4225.92</v>
      </c>
      <c r="K27" s="42">
        <f t="shared" si="5"/>
        <v>2807.35</v>
      </c>
      <c r="L27" s="42">
        <f t="shared" si="1"/>
        <v>481.26</v>
      </c>
      <c r="M27" s="42">
        <f>(813.5/30*61)/2*1.04</f>
        <v>860.14066666666679</v>
      </c>
      <c r="N27" s="42">
        <f t="shared" si="6"/>
        <v>320.84000000000003</v>
      </c>
      <c r="O27" s="42">
        <v>1206</v>
      </c>
      <c r="P27" s="42">
        <v>755</v>
      </c>
      <c r="Q27" s="43">
        <f t="shared" si="10"/>
        <v>617</v>
      </c>
      <c r="R27" s="42">
        <f>I27+K27+L27+M27+N27+O27+P27</f>
        <v>21855.590666666663</v>
      </c>
      <c r="S27" s="42">
        <f t="shared" si="11"/>
        <v>7404</v>
      </c>
      <c r="T27" s="43">
        <f t="shared" si="2"/>
        <v>26736.666666666668</v>
      </c>
      <c r="U27" s="43">
        <f t="shared" si="3"/>
        <v>2673.666666666667</v>
      </c>
      <c r="V27" s="43">
        <f t="shared" si="8"/>
        <v>8021</v>
      </c>
      <c r="W27" s="44">
        <f t="shared" si="4"/>
        <v>311328.34133333334</v>
      </c>
      <c r="X27" s="33">
        <f t="shared" si="9"/>
        <v>11590.666666666666</v>
      </c>
    </row>
    <row r="28" spans="1:25" ht="29.25" customHeight="1">
      <c r="A28" s="36">
        <v>15</v>
      </c>
      <c r="B28" s="37">
        <v>40</v>
      </c>
      <c r="C28" s="37" t="s">
        <v>27</v>
      </c>
      <c r="D28" s="38" t="s">
        <v>43</v>
      </c>
      <c r="E28" s="37">
        <v>1</v>
      </c>
      <c r="F28" s="51" t="s">
        <v>44</v>
      </c>
      <c r="G28" s="39">
        <f>15425</f>
        <v>15425</v>
      </c>
      <c r="H28" s="40">
        <v>0</v>
      </c>
      <c r="I28" s="40">
        <f t="shared" si="0"/>
        <v>15425</v>
      </c>
      <c r="J28" s="41">
        <v>3169.44</v>
      </c>
      <c r="K28" s="42">
        <f t="shared" si="5"/>
        <v>2807.35</v>
      </c>
      <c r="L28" s="42">
        <f t="shared" si="1"/>
        <v>481.26</v>
      </c>
      <c r="M28" s="42">
        <f>(810.45/30*61)/2*1.04</f>
        <v>856.91579999999999</v>
      </c>
      <c r="N28" s="42">
        <f t="shared" si="6"/>
        <v>320.84000000000003</v>
      </c>
      <c r="O28" s="42">
        <v>1206</v>
      </c>
      <c r="P28" s="42">
        <v>755</v>
      </c>
      <c r="Q28" s="43">
        <f t="shared" si="10"/>
        <v>617</v>
      </c>
      <c r="R28" s="42">
        <f t="shared" si="7"/>
        <v>21852.365799999996</v>
      </c>
      <c r="S28" s="42">
        <f t="shared" si="11"/>
        <v>7404</v>
      </c>
      <c r="T28" s="43">
        <f t="shared" si="2"/>
        <v>26736.666666666668</v>
      </c>
      <c r="U28" s="43">
        <f t="shared" si="3"/>
        <v>2673.666666666667</v>
      </c>
      <c r="V28" s="43">
        <f t="shared" si="8"/>
        <v>8021</v>
      </c>
      <c r="W28" s="44">
        <f t="shared" si="4"/>
        <v>310233.16293333331</v>
      </c>
      <c r="X28" s="33">
        <f t="shared" si="9"/>
        <v>11590.666666666666</v>
      </c>
    </row>
    <row r="29" spans="1:25" ht="29.25" customHeight="1">
      <c r="A29" s="36">
        <v>15</v>
      </c>
      <c r="B29" s="37">
        <v>40</v>
      </c>
      <c r="C29" s="37" t="s">
        <v>27</v>
      </c>
      <c r="D29" s="38" t="s">
        <v>43</v>
      </c>
      <c r="E29" s="37">
        <v>1</v>
      </c>
      <c r="F29" s="51" t="s">
        <v>37</v>
      </c>
      <c r="G29" s="39">
        <f>15425</f>
        <v>15425</v>
      </c>
      <c r="H29" s="40">
        <v>0</v>
      </c>
      <c r="I29" s="40">
        <f t="shared" si="0"/>
        <v>15425</v>
      </c>
      <c r="J29" s="41">
        <v>2112.96</v>
      </c>
      <c r="K29" s="42">
        <f t="shared" si="5"/>
        <v>2807.35</v>
      </c>
      <c r="L29" s="42">
        <f t="shared" si="1"/>
        <v>481.26</v>
      </c>
      <c r="M29" s="42">
        <f>(809.82/30*61)/2*1.04</f>
        <v>856.24968000000013</v>
      </c>
      <c r="N29" s="42">
        <f t="shared" si="6"/>
        <v>320.84000000000003</v>
      </c>
      <c r="O29" s="42">
        <v>1206</v>
      </c>
      <c r="P29" s="42">
        <v>755</v>
      </c>
      <c r="Q29" s="43">
        <f t="shared" si="10"/>
        <v>617</v>
      </c>
      <c r="R29" s="42">
        <f t="shared" si="7"/>
        <v>21851.699679999998</v>
      </c>
      <c r="S29" s="42">
        <f t="shared" si="11"/>
        <v>7404</v>
      </c>
      <c r="T29" s="43">
        <f t="shared" si="2"/>
        <v>26736.666666666668</v>
      </c>
      <c r="U29" s="43">
        <f t="shared" si="3"/>
        <v>2673.666666666667</v>
      </c>
      <c r="V29" s="43">
        <f t="shared" si="8"/>
        <v>8021</v>
      </c>
      <c r="W29" s="44">
        <f t="shared" si="4"/>
        <v>309168.6894933334</v>
      </c>
      <c r="X29" s="33">
        <f t="shared" si="9"/>
        <v>11590.666666666666</v>
      </c>
    </row>
    <row r="30" spans="1:25" ht="29.25" customHeight="1">
      <c r="A30" s="36">
        <v>15</v>
      </c>
      <c r="B30" s="37">
        <v>40</v>
      </c>
      <c r="C30" s="37" t="s">
        <v>27</v>
      </c>
      <c r="D30" s="38" t="s">
        <v>45</v>
      </c>
      <c r="E30" s="37">
        <v>1</v>
      </c>
      <c r="F30" s="51" t="s">
        <v>44</v>
      </c>
      <c r="G30" s="39">
        <f>15425</f>
        <v>15425</v>
      </c>
      <c r="H30" s="40">
        <v>0</v>
      </c>
      <c r="I30" s="40">
        <f t="shared" si="0"/>
        <v>15425</v>
      </c>
      <c r="J30" s="41">
        <v>4225.92</v>
      </c>
      <c r="K30" s="42">
        <f t="shared" si="5"/>
        <v>2807.35</v>
      </c>
      <c r="L30" s="42">
        <f t="shared" si="1"/>
        <v>481.26</v>
      </c>
      <c r="M30" s="42">
        <f>(811.96/30*61)/2*1.04</f>
        <v>858.51237333333347</v>
      </c>
      <c r="N30" s="42">
        <f t="shared" si="6"/>
        <v>320.84000000000003</v>
      </c>
      <c r="O30" s="42">
        <v>1206</v>
      </c>
      <c r="P30" s="42">
        <v>755</v>
      </c>
      <c r="Q30" s="43">
        <f t="shared" si="10"/>
        <v>617</v>
      </c>
      <c r="R30" s="42">
        <f t="shared" si="7"/>
        <v>21853.962373333332</v>
      </c>
      <c r="S30" s="42">
        <f t="shared" si="11"/>
        <v>7404</v>
      </c>
      <c r="T30" s="43">
        <f t="shared" si="2"/>
        <v>26736.666666666668</v>
      </c>
      <c r="U30" s="43">
        <f t="shared" si="3"/>
        <v>2673.666666666667</v>
      </c>
      <c r="V30" s="43">
        <f t="shared" si="8"/>
        <v>8021</v>
      </c>
      <c r="W30" s="44">
        <f t="shared" si="4"/>
        <v>311308.80181333335</v>
      </c>
      <c r="X30" s="33">
        <f t="shared" si="9"/>
        <v>11590.666666666666</v>
      </c>
      <c r="Y30" s="11"/>
    </row>
    <row r="31" spans="1:25" ht="29.25" customHeight="1">
      <c r="A31" s="36">
        <v>15</v>
      </c>
      <c r="B31" s="37">
        <v>40</v>
      </c>
      <c r="C31" s="37" t="s">
        <v>27</v>
      </c>
      <c r="D31" s="48" t="s">
        <v>42</v>
      </c>
      <c r="E31" s="37">
        <v>1</v>
      </c>
      <c r="F31" s="51" t="s">
        <v>46</v>
      </c>
      <c r="G31" s="39">
        <f>15425</f>
        <v>15425</v>
      </c>
      <c r="H31" s="40">
        <v>0</v>
      </c>
      <c r="I31" s="40">
        <f>+G31+H31</f>
        <v>15425</v>
      </c>
      <c r="J31" s="41">
        <v>2291.98</v>
      </c>
      <c r="K31" s="42">
        <f>(I31+Q31)*17.5%</f>
        <v>2807.35</v>
      </c>
      <c r="L31" s="42">
        <f>(I31+Q31)*3%</f>
        <v>481.26</v>
      </c>
      <c r="M31" s="42">
        <f>(749.67/30*61)/2*1.04</f>
        <v>792.65107999999987</v>
      </c>
      <c r="N31" s="42">
        <f>(I31+Q31)*2%</f>
        <v>320.84000000000003</v>
      </c>
      <c r="O31" s="42">
        <v>1206</v>
      </c>
      <c r="P31" s="42">
        <v>755</v>
      </c>
      <c r="Q31" s="43">
        <f>G31*4%</f>
        <v>617</v>
      </c>
      <c r="R31" s="42">
        <f>I31+K31+L31+M31+N31+O31+P31</f>
        <v>21788.101079999997</v>
      </c>
      <c r="S31" s="42">
        <f>Q31*12</f>
        <v>7404</v>
      </c>
      <c r="T31" s="43">
        <f>(I31+Q31)/30*50</f>
        <v>26736.666666666668</v>
      </c>
      <c r="U31" s="43">
        <f>(I31+Q31)/30*5</f>
        <v>2673.666666666667</v>
      </c>
      <c r="V31" s="43">
        <f>(I31+Q31)/30*15</f>
        <v>8021</v>
      </c>
      <c r="W31" s="44">
        <f>(R31*12)+S31+T31+U31+V31+J31</f>
        <v>308584.52629333333</v>
      </c>
      <c r="X31" s="33"/>
      <c r="Y31" s="11"/>
    </row>
    <row r="32" spans="1:25" ht="29.25" customHeight="1">
      <c r="A32" s="36">
        <v>14</v>
      </c>
      <c r="B32" s="37">
        <v>40</v>
      </c>
      <c r="C32" s="37" t="s">
        <v>27</v>
      </c>
      <c r="D32" s="38" t="s">
        <v>47</v>
      </c>
      <c r="E32" s="37">
        <v>1</v>
      </c>
      <c r="F32" s="51" t="s">
        <v>46</v>
      </c>
      <c r="G32" s="39">
        <f>13967</f>
        <v>13967</v>
      </c>
      <c r="H32" s="40">
        <v>0</v>
      </c>
      <c r="I32" s="40">
        <f t="shared" si="0"/>
        <v>13967</v>
      </c>
      <c r="J32" s="41">
        <v>1144.52</v>
      </c>
      <c r="K32" s="42">
        <f t="shared" si="5"/>
        <v>2541.9939999999997</v>
      </c>
      <c r="L32" s="42">
        <f t="shared" si="1"/>
        <v>435.7704</v>
      </c>
      <c r="M32" s="42">
        <f>(765.88/30*61)/2*1.04</f>
        <v>809.7904533333334</v>
      </c>
      <c r="N32" s="42">
        <f t="shared" si="6"/>
        <v>290.5136</v>
      </c>
      <c r="O32" s="42">
        <v>1163</v>
      </c>
      <c r="P32" s="42">
        <v>722</v>
      </c>
      <c r="Q32" s="43">
        <f t="shared" si="10"/>
        <v>558.68000000000006</v>
      </c>
      <c r="R32" s="42">
        <f t="shared" si="7"/>
        <v>19930.068453333333</v>
      </c>
      <c r="S32" s="42">
        <f t="shared" si="11"/>
        <v>6704.1600000000008</v>
      </c>
      <c r="T32" s="43">
        <f t="shared" si="2"/>
        <v>24209.466666666667</v>
      </c>
      <c r="U32" s="43">
        <f t="shared" si="3"/>
        <v>2420.9466666666667</v>
      </c>
      <c r="V32" s="43">
        <f t="shared" si="8"/>
        <v>7262.84</v>
      </c>
      <c r="W32" s="44">
        <f t="shared" si="4"/>
        <v>280902.75477333338</v>
      </c>
      <c r="X32" s="33">
        <f t="shared" si="9"/>
        <v>10568</v>
      </c>
    </row>
    <row r="33" spans="1:26" ht="29.25" customHeight="1">
      <c r="A33" s="36">
        <v>14</v>
      </c>
      <c r="B33" s="37">
        <v>40</v>
      </c>
      <c r="C33" s="37" t="s">
        <v>27</v>
      </c>
      <c r="D33" s="38" t="s">
        <v>48</v>
      </c>
      <c r="E33" s="37">
        <v>1</v>
      </c>
      <c r="F33" s="51" t="s">
        <v>30</v>
      </c>
      <c r="G33" s="39">
        <f>13967</f>
        <v>13967</v>
      </c>
      <c r="H33" s="40">
        <v>0</v>
      </c>
      <c r="I33" s="40">
        <f t="shared" si="0"/>
        <v>13967</v>
      </c>
      <c r="J33" s="41">
        <v>2112.96</v>
      </c>
      <c r="K33" s="42">
        <f t="shared" si="5"/>
        <v>2541.9939999999997</v>
      </c>
      <c r="L33" s="42">
        <f t="shared" si="1"/>
        <v>435.7704</v>
      </c>
      <c r="M33" s="42">
        <f>(766.03/30*61)/2*1.04</f>
        <v>809.94905333333327</v>
      </c>
      <c r="N33" s="42">
        <f t="shared" si="6"/>
        <v>290.5136</v>
      </c>
      <c r="O33" s="42">
        <v>1163</v>
      </c>
      <c r="P33" s="42">
        <v>722</v>
      </c>
      <c r="Q33" s="43">
        <f t="shared" si="10"/>
        <v>558.68000000000006</v>
      </c>
      <c r="R33" s="42">
        <f t="shared" si="7"/>
        <v>19930.227053333332</v>
      </c>
      <c r="S33" s="42">
        <f t="shared" si="11"/>
        <v>6704.1600000000008</v>
      </c>
      <c r="T33" s="43">
        <f t="shared" si="2"/>
        <v>24209.466666666667</v>
      </c>
      <c r="U33" s="43">
        <f t="shared" si="3"/>
        <v>2420.9466666666667</v>
      </c>
      <c r="V33" s="43">
        <f t="shared" si="8"/>
        <v>7262.84</v>
      </c>
      <c r="W33" s="44">
        <f t="shared" si="4"/>
        <v>281873.09797333332</v>
      </c>
      <c r="X33" s="33">
        <f t="shared" si="9"/>
        <v>10568</v>
      </c>
    </row>
    <row r="34" spans="1:26" ht="29.25" customHeight="1">
      <c r="A34" s="36">
        <v>12</v>
      </c>
      <c r="B34" s="37">
        <v>40</v>
      </c>
      <c r="C34" s="37" t="s">
        <v>27</v>
      </c>
      <c r="D34" s="48" t="s">
        <v>49</v>
      </c>
      <c r="E34" s="37">
        <v>1</v>
      </c>
      <c r="F34" s="51" t="s">
        <v>46</v>
      </c>
      <c r="G34" s="39">
        <f>13448</f>
        <v>13448</v>
      </c>
      <c r="H34" s="40">
        <v>0</v>
      </c>
      <c r="I34" s="40">
        <f t="shared" si="0"/>
        <v>13448</v>
      </c>
      <c r="J34" s="41"/>
      <c r="K34" s="42">
        <f t="shared" si="5"/>
        <v>2447.5360000000001</v>
      </c>
      <c r="L34" s="42">
        <f t="shared" si="1"/>
        <v>419.57759999999996</v>
      </c>
      <c r="M34" s="42">
        <f>(746.05/30*61)/2*1.04</f>
        <v>788.82353333333333</v>
      </c>
      <c r="N34" s="42">
        <f t="shared" si="6"/>
        <v>279.71840000000003</v>
      </c>
      <c r="O34" s="42">
        <v>1099</v>
      </c>
      <c r="P34" s="42">
        <v>689</v>
      </c>
      <c r="Q34" s="43">
        <f t="shared" si="10"/>
        <v>537.91999999999996</v>
      </c>
      <c r="R34" s="42">
        <f t="shared" si="7"/>
        <v>19171.655533333334</v>
      </c>
      <c r="S34" s="42">
        <f t="shared" si="11"/>
        <v>6455.0399999999991</v>
      </c>
      <c r="T34" s="43">
        <f t="shared" si="2"/>
        <v>23309.866666666669</v>
      </c>
      <c r="U34" s="43">
        <f t="shared" si="3"/>
        <v>2330.9866666666667</v>
      </c>
      <c r="V34" s="43">
        <f t="shared" si="8"/>
        <v>6992.96</v>
      </c>
      <c r="W34" s="44">
        <f t="shared" si="4"/>
        <v>269148.71973333339</v>
      </c>
      <c r="X34" s="33">
        <f t="shared" si="9"/>
        <v>10157.333333333334</v>
      </c>
    </row>
    <row r="35" spans="1:26" ht="29.25" customHeight="1">
      <c r="A35" s="36">
        <v>10</v>
      </c>
      <c r="B35" s="37">
        <v>40</v>
      </c>
      <c r="C35" s="52" t="s">
        <v>50</v>
      </c>
      <c r="D35" s="48" t="s">
        <v>51</v>
      </c>
      <c r="E35" s="37">
        <v>1</v>
      </c>
      <c r="F35" s="51" t="s">
        <v>41</v>
      </c>
      <c r="G35" s="53">
        <v>12905</v>
      </c>
      <c r="H35" s="40">
        <v>0</v>
      </c>
      <c r="I35" s="40">
        <f t="shared" si="0"/>
        <v>12905</v>
      </c>
      <c r="J35" s="41">
        <v>2112.96</v>
      </c>
      <c r="K35" s="42">
        <f t="shared" si="5"/>
        <v>2348.71</v>
      </c>
      <c r="L35" s="42">
        <f t="shared" si="1"/>
        <v>402.63600000000002</v>
      </c>
      <c r="M35" s="42">
        <f>(733.12/30*61)/2*1.04</f>
        <v>775.15221333333352</v>
      </c>
      <c r="N35" s="42">
        <f t="shared" si="6"/>
        <v>268.42400000000004</v>
      </c>
      <c r="O35" s="42">
        <v>1046</v>
      </c>
      <c r="P35" s="42">
        <v>666</v>
      </c>
      <c r="Q35" s="43">
        <f t="shared" si="10"/>
        <v>516.20000000000005</v>
      </c>
      <c r="R35" s="42">
        <f t="shared" si="7"/>
        <v>18411.922213333331</v>
      </c>
      <c r="S35" s="42">
        <f t="shared" si="11"/>
        <v>6194.4000000000005</v>
      </c>
      <c r="T35" s="43">
        <f t="shared" si="2"/>
        <v>22368.666666666668</v>
      </c>
      <c r="U35" s="43">
        <f t="shared" si="3"/>
        <v>2236.8666666666668</v>
      </c>
      <c r="V35" s="43">
        <f t="shared" si="8"/>
        <v>6710.6</v>
      </c>
      <c r="W35" s="44">
        <f t="shared" si="4"/>
        <v>260566.55989333329</v>
      </c>
      <c r="X35" s="33">
        <f t="shared" si="9"/>
        <v>9744.6666666666679</v>
      </c>
    </row>
    <row r="36" spans="1:26" ht="29.25" customHeight="1">
      <c r="A36" s="36">
        <v>10</v>
      </c>
      <c r="B36" s="37">
        <v>40</v>
      </c>
      <c r="C36" s="52" t="s">
        <v>50</v>
      </c>
      <c r="D36" s="48" t="s">
        <v>52</v>
      </c>
      <c r="E36" s="37">
        <v>1</v>
      </c>
      <c r="F36" s="51" t="s">
        <v>44</v>
      </c>
      <c r="G36" s="53">
        <v>12905</v>
      </c>
      <c r="H36" s="40">
        <v>0</v>
      </c>
      <c r="I36" s="40">
        <f t="shared" si="0"/>
        <v>12905</v>
      </c>
      <c r="J36" s="41">
        <v>3169.44</v>
      </c>
      <c r="K36" s="42">
        <f t="shared" si="5"/>
        <v>2348.71</v>
      </c>
      <c r="L36" s="42">
        <f t="shared" si="1"/>
        <v>402.63600000000002</v>
      </c>
      <c r="M36" s="42">
        <f>(734.84/30*61)/2*1.04</f>
        <v>776.97082666666677</v>
      </c>
      <c r="N36" s="42">
        <f t="shared" si="6"/>
        <v>268.42400000000004</v>
      </c>
      <c r="O36" s="42">
        <v>1046</v>
      </c>
      <c r="P36" s="42">
        <v>666</v>
      </c>
      <c r="Q36" s="43">
        <f t="shared" si="10"/>
        <v>516.20000000000005</v>
      </c>
      <c r="R36" s="42">
        <f t="shared" si="7"/>
        <v>18413.740826666664</v>
      </c>
      <c r="S36" s="42">
        <f t="shared" si="11"/>
        <v>6194.4000000000005</v>
      </c>
      <c r="T36" s="43">
        <f t="shared" si="2"/>
        <v>22368.666666666668</v>
      </c>
      <c r="U36" s="43">
        <f t="shared" si="3"/>
        <v>2236.8666666666668</v>
      </c>
      <c r="V36" s="43">
        <f t="shared" si="8"/>
        <v>6710.6</v>
      </c>
      <c r="W36" s="44">
        <f t="shared" si="4"/>
        <v>261644.86325333331</v>
      </c>
      <c r="X36" s="33">
        <f t="shared" si="9"/>
        <v>9744.6666666666679</v>
      </c>
    </row>
    <row r="37" spans="1:26" ht="29.25" customHeight="1">
      <c r="A37" s="36">
        <v>3</v>
      </c>
      <c r="B37" s="37">
        <v>40</v>
      </c>
      <c r="C37" s="52" t="s">
        <v>50</v>
      </c>
      <c r="D37" s="48" t="s">
        <v>53</v>
      </c>
      <c r="E37" s="37">
        <v>1</v>
      </c>
      <c r="F37" s="51" t="s">
        <v>39</v>
      </c>
      <c r="G37" s="39">
        <v>9869</v>
      </c>
      <c r="H37" s="40">
        <v>0</v>
      </c>
      <c r="I37" s="40">
        <f t="shared" si="0"/>
        <v>9869</v>
      </c>
      <c r="J37" s="41">
        <v>3169.44</v>
      </c>
      <c r="K37" s="42">
        <f t="shared" si="5"/>
        <v>1796.1579999999999</v>
      </c>
      <c r="L37" s="42">
        <f t="shared" si="1"/>
        <v>307.9128</v>
      </c>
      <c r="M37" s="42">
        <f>(645.03/30*61)/2*1.04</f>
        <v>682.01171999999997</v>
      </c>
      <c r="N37" s="42">
        <f t="shared" si="6"/>
        <v>205.27520000000001</v>
      </c>
      <c r="O37" s="42">
        <v>788</v>
      </c>
      <c r="P37" s="42">
        <v>468</v>
      </c>
      <c r="Q37" s="43">
        <f t="shared" si="10"/>
        <v>394.76</v>
      </c>
      <c r="R37" s="42">
        <f t="shared" si="7"/>
        <v>14116.35772</v>
      </c>
      <c r="S37" s="42">
        <f t="shared" si="11"/>
        <v>4737.12</v>
      </c>
      <c r="T37" s="43">
        <f t="shared" si="2"/>
        <v>17106.266666666666</v>
      </c>
      <c r="U37" s="43">
        <f t="shared" si="3"/>
        <v>1710.6266666666668</v>
      </c>
      <c r="V37" s="43">
        <f t="shared" si="8"/>
        <v>5131.88</v>
      </c>
      <c r="W37" s="44">
        <f t="shared" si="4"/>
        <v>201251.62597333334</v>
      </c>
      <c r="X37" s="33">
        <f t="shared" si="9"/>
        <v>7416.6666666666661</v>
      </c>
    </row>
    <row r="38" spans="1:26" ht="29.25" customHeight="1" thickBot="1">
      <c r="A38" s="54">
        <v>1</v>
      </c>
      <c r="B38" s="55">
        <v>40</v>
      </c>
      <c r="C38" s="55" t="s">
        <v>50</v>
      </c>
      <c r="D38" s="56" t="s">
        <v>54</v>
      </c>
      <c r="E38" s="57">
        <v>1</v>
      </c>
      <c r="F38" s="58" t="s">
        <v>44</v>
      </c>
      <c r="G38" s="59">
        <v>9107</v>
      </c>
      <c r="H38" s="60">
        <v>0</v>
      </c>
      <c r="I38" s="60">
        <f t="shared" si="0"/>
        <v>9107</v>
      </c>
      <c r="J38" s="61">
        <v>4225.92</v>
      </c>
      <c r="K38" s="62">
        <f t="shared" si="5"/>
        <v>1657.4739999999999</v>
      </c>
      <c r="L38" s="62">
        <f t="shared" si="1"/>
        <v>284.13839999999999</v>
      </c>
      <c r="M38" s="62">
        <f>(625.99/30*61)/2*1.04</f>
        <v>661.88009333333343</v>
      </c>
      <c r="N38" s="62">
        <f t="shared" si="6"/>
        <v>189.4256</v>
      </c>
      <c r="O38" s="62">
        <v>717</v>
      </c>
      <c r="P38" s="62">
        <v>447</v>
      </c>
      <c r="Q38" s="63">
        <f t="shared" si="10"/>
        <v>364.28000000000003</v>
      </c>
      <c r="R38" s="62">
        <f t="shared" si="7"/>
        <v>13063.918093333334</v>
      </c>
      <c r="S38" s="62">
        <f t="shared" si="11"/>
        <v>4371.3600000000006</v>
      </c>
      <c r="T38" s="63">
        <f t="shared" si="2"/>
        <v>15785.466666666667</v>
      </c>
      <c r="U38" s="63">
        <f t="shared" si="3"/>
        <v>1578.5466666666666</v>
      </c>
      <c r="V38" s="63">
        <f t="shared" si="8"/>
        <v>4735.6400000000003</v>
      </c>
      <c r="W38" s="64">
        <f t="shared" si="4"/>
        <v>187463.95045333338</v>
      </c>
      <c r="X38" s="33">
        <f t="shared" si="9"/>
        <v>6847.3333333333339</v>
      </c>
    </row>
    <row r="39" spans="1:26" ht="24" customHeight="1">
      <c r="A39" s="66"/>
      <c r="B39" s="66"/>
      <c r="C39" s="66"/>
      <c r="D39" s="65"/>
      <c r="E39" s="65"/>
      <c r="F39" s="66"/>
      <c r="G39" s="67">
        <f t="shared" ref="G39:V39" si="12">SUM(G13:G38)</f>
        <v>549752</v>
      </c>
      <c r="H39" s="67">
        <f t="shared" si="12"/>
        <v>0</v>
      </c>
      <c r="I39" s="67">
        <f t="shared" si="12"/>
        <v>549752</v>
      </c>
      <c r="J39" s="67"/>
      <c r="K39" s="67">
        <f>SUM(K13:K38)</f>
        <v>100054.86400000007</v>
      </c>
      <c r="L39" s="67">
        <f>SUM(L13:L38)</f>
        <v>17152.2624</v>
      </c>
      <c r="M39" s="67">
        <f>SUM(M13:M38)</f>
        <v>26101.774746666666</v>
      </c>
      <c r="N39" s="67">
        <f t="shared" si="12"/>
        <v>11440.049600000002</v>
      </c>
      <c r="O39" s="67">
        <f t="shared" si="12"/>
        <v>34904</v>
      </c>
      <c r="P39" s="67">
        <f t="shared" si="12"/>
        <v>22750</v>
      </c>
      <c r="Q39" s="67">
        <f>SUM(Q13:Q38)</f>
        <v>21990.079999999998</v>
      </c>
      <c r="R39" s="67">
        <f t="shared" si="12"/>
        <v>762154.95074666652</v>
      </c>
      <c r="S39" s="67">
        <f>SUM(S13:S38)</f>
        <v>263880.95999999996</v>
      </c>
      <c r="T39" s="67">
        <f t="shared" si="12"/>
        <v>952903.46666666644</v>
      </c>
      <c r="U39" s="67">
        <f t="shared" si="12"/>
        <v>95290.346666666694</v>
      </c>
      <c r="V39" s="67">
        <f t="shared" si="12"/>
        <v>252986.24000000002</v>
      </c>
      <c r="W39" s="68">
        <f>SUM(W13:W38)</f>
        <v>10776677.492293335</v>
      </c>
      <c r="X39" s="69"/>
    </row>
    <row r="40" spans="1:26" ht="24" customHeight="1">
      <c r="A40" s="86" t="s">
        <v>55</v>
      </c>
      <c r="B40" s="71"/>
      <c r="C40" s="72"/>
      <c r="D40" s="87"/>
      <c r="E40" s="70">
        <f>(COUNT(A8:A38))</f>
        <v>26</v>
      </c>
      <c r="F40" s="71"/>
      <c r="G40" s="73">
        <f>G39*12</f>
        <v>6597024</v>
      </c>
      <c r="H40" s="74"/>
      <c r="I40" s="73">
        <f>I39*12</f>
        <v>6597024</v>
      </c>
      <c r="J40" s="75">
        <f>SUM(J13:J38)</f>
        <v>65757.069999999992</v>
      </c>
      <c r="K40" s="76">
        <f>K39*12</f>
        <v>1200658.3680000009</v>
      </c>
      <c r="L40" s="76">
        <f t="shared" ref="L40:P40" si="13">L39*12</f>
        <v>205827.1488</v>
      </c>
      <c r="M40" s="76">
        <f t="shared" si="13"/>
        <v>313221.29696000001</v>
      </c>
      <c r="N40" s="76">
        <f t="shared" si="13"/>
        <v>137280.59520000004</v>
      </c>
      <c r="O40" s="76">
        <f t="shared" si="13"/>
        <v>418848</v>
      </c>
      <c r="P40" s="76">
        <f t="shared" si="13"/>
        <v>273000</v>
      </c>
      <c r="Q40" s="76"/>
      <c r="R40" s="75"/>
      <c r="S40" s="76">
        <f>S39</f>
        <v>263880.95999999996</v>
      </c>
      <c r="T40" s="75">
        <f>T39</f>
        <v>952903.46666666644</v>
      </c>
      <c r="U40" s="75">
        <f>U39</f>
        <v>95290.346666666694</v>
      </c>
      <c r="V40" s="77">
        <f>V39</f>
        <v>252986.24000000002</v>
      </c>
      <c r="W40" s="78">
        <f>SUM(I40:V40)</f>
        <v>10776677.492293335</v>
      </c>
      <c r="X40" s="79"/>
      <c r="Z40" s="80"/>
    </row>
    <row r="41" spans="1:26" ht="16.5" thickBot="1">
      <c r="E41" s="5"/>
      <c r="I41" s="82"/>
      <c r="J41" s="82"/>
      <c r="K41" s="81"/>
      <c r="L41" s="81"/>
      <c r="M41" s="85"/>
      <c r="N41" s="81"/>
      <c r="O41" s="81"/>
      <c r="P41" s="81"/>
      <c r="Q41" s="81"/>
      <c r="R41" s="81"/>
      <c r="S41" s="81"/>
      <c r="T41" s="81"/>
      <c r="U41" s="81"/>
    </row>
    <row r="42" spans="1:26" ht="16.5" thickBot="1">
      <c r="A42" s="88" t="s">
        <v>56</v>
      </c>
      <c r="D42" s="5"/>
      <c r="E42" s="89">
        <f>COUNTIF($C$13:$C$43,"C")</f>
        <v>22</v>
      </c>
      <c r="I42" s="82"/>
      <c r="J42" s="82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1:26" ht="16.5" thickBot="1">
      <c r="B43" s="83"/>
      <c r="C43" s="88"/>
      <c r="D43" s="83"/>
      <c r="E43" s="90"/>
      <c r="I43" s="82"/>
      <c r="J43" s="82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1:26" ht="16.5" thickBot="1">
      <c r="A44" s="88" t="s">
        <v>57</v>
      </c>
      <c r="D44" s="5"/>
      <c r="E44" s="89">
        <f>COUNTIF($C$13:$C$43,"B")</f>
        <v>4</v>
      </c>
      <c r="I44" s="82"/>
      <c r="J44" s="82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1:26" ht="13.5" thickBot="1">
      <c r="E45" s="5"/>
      <c r="I45" s="82"/>
      <c r="J45" s="82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1:26" ht="16.5" thickBot="1">
      <c r="A46" s="88" t="s">
        <v>58</v>
      </c>
      <c r="E46" s="89">
        <v>0</v>
      </c>
      <c r="I46" s="82"/>
      <c r="J46" s="82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1:26">
      <c r="A47" s="83"/>
      <c r="B47" s="83"/>
      <c r="C47" s="83"/>
      <c r="D47" s="84"/>
      <c r="I47" s="82"/>
      <c r="J47" s="82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6">
      <c r="A48" s="83"/>
      <c r="B48" s="83"/>
      <c r="C48" s="83"/>
      <c r="D48" s="84"/>
      <c r="I48" s="82"/>
      <c r="J48" s="82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1:21">
      <c r="A49" s="83"/>
      <c r="B49" s="83"/>
      <c r="C49" s="83"/>
      <c r="D49" s="84"/>
      <c r="I49" s="82"/>
      <c r="J49" s="82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1:21">
      <c r="A50" s="83"/>
      <c r="B50" s="83"/>
      <c r="C50" s="83"/>
      <c r="D50" s="84"/>
      <c r="I50" s="82"/>
      <c r="J50" s="82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1:21">
      <c r="A51" s="83"/>
      <c r="B51" s="83"/>
      <c r="C51" s="83"/>
      <c r="D51" s="84"/>
      <c r="I51" s="82"/>
      <c r="J51" s="82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1:21">
      <c r="I52" s="82"/>
      <c r="J52" s="82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1:21">
      <c r="I53" s="82"/>
      <c r="J53" s="82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1:21">
      <c r="I54" s="82"/>
      <c r="J54" s="82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1:21">
      <c r="I55" s="82"/>
      <c r="J55" s="82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1:21">
      <c r="I56" s="82"/>
      <c r="J56" s="82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1:21">
      <c r="I57" s="82"/>
      <c r="J57" s="82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1:21">
      <c r="I58" s="82"/>
      <c r="J58" s="82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1:21">
      <c r="I59" s="82"/>
      <c r="J59" s="82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1:21">
      <c r="I60" s="82"/>
      <c r="J60" s="82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21">
      <c r="I61" s="82"/>
      <c r="J61" s="82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1:21">
      <c r="I62" s="82"/>
      <c r="J62" s="82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1:21">
      <c r="I63" s="82"/>
      <c r="J63" s="82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1:21">
      <c r="I64" s="82"/>
      <c r="J64" s="82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9:21">
      <c r="I65" s="82"/>
      <c r="J65" s="82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9:21">
      <c r="I66" s="82"/>
      <c r="J66" s="82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9:21">
      <c r="I67" s="82"/>
      <c r="J67" s="82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9:21">
      <c r="I68" s="82"/>
      <c r="J68" s="82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9:21">
      <c r="I69" s="82"/>
      <c r="J69" s="82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9:21">
      <c r="I70" s="82"/>
      <c r="J70" s="82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9:21">
      <c r="I71" s="82"/>
      <c r="J71" s="82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9:21">
      <c r="I72" s="82"/>
      <c r="J72" s="82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9:21">
      <c r="I73" s="82"/>
      <c r="J73" s="82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9:21">
      <c r="I74" s="82"/>
      <c r="J74" s="82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9:21">
      <c r="I75" s="82"/>
      <c r="J75" s="82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9:21">
      <c r="I76" s="82"/>
      <c r="J76" s="82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9:21">
      <c r="I77" s="82"/>
      <c r="J77" s="82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9:21">
      <c r="I78" s="82"/>
      <c r="J78" s="82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9:21">
      <c r="I79" s="82"/>
      <c r="J79" s="82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9:21">
      <c r="I80" s="82"/>
      <c r="J80" s="82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9:21">
      <c r="I81" s="82"/>
      <c r="J81" s="82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9:21">
      <c r="I82" s="82"/>
      <c r="J82" s="82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9:21">
      <c r="I83" s="82"/>
      <c r="J83" s="82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9:21">
      <c r="I84" s="82"/>
      <c r="J84" s="82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9:21">
      <c r="I85" s="82"/>
      <c r="J85" s="82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9:21">
      <c r="I86" s="82"/>
      <c r="J86" s="82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9:21">
      <c r="I87" s="82"/>
      <c r="J87" s="82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9:21">
      <c r="I88" s="82"/>
      <c r="J88" s="82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9:21">
      <c r="I89" s="82"/>
      <c r="J89" s="82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9:21">
      <c r="I90" s="82"/>
      <c r="J90" s="82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9:21">
      <c r="I91" s="82"/>
      <c r="J91" s="82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9:21">
      <c r="I92" s="82"/>
      <c r="J92" s="82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9:21">
      <c r="I93" s="82"/>
      <c r="J93" s="82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9:21">
      <c r="I94" s="82"/>
      <c r="J94" s="82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9:21">
      <c r="I95" s="82"/>
      <c r="J95" s="82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9:21">
      <c r="I96" s="82"/>
      <c r="J96" s="82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9:21">
      <c r="I97" s="82"/>
      <c r="J97" s="82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9:21">
      <c r="I98" s="82"/>
      <c r="J98" s="82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9:21">
      <c r="I99" s="82"/>
      <c r="J99" s="82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9:21">
      <c r="I100" s="82"/>
      <c r="J100" s="82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9:21">
      <c r="I101" s="82"/>
      <c r="J101" s="82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9:21">
      <c r="I102" s="82"/>
      <c r="J102" s="82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9:21">
      <c r="I103" s="82"/>
      <c r="J103" s="82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9:21">
      <c r="I104" s="82"/>
      <c r="J104" s="82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9:21">
      <c r="I105" s="82"/>
      <c r="J105" s="82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9:21">
      <c r="I106" s="82"/>
      <c r="J106" s="82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9:21">
      <c r="I107" s="82"/>
      <c r="J107" s="82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9:21">
      <c r="I108" s="82"/>
      <c r="J108" s="82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9:21">
      <c r="I109" s="82"/>
      <c r="J109" s="82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9:21">
      <c r="I110" s="82"/>
      <c r="J110" s="82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9:21">
      <c r="I111" s="82"/>
      <c r="J111" s="82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9:21">
      <c r="I112" s="82"/>
      <c r="J112" s="82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9:21">
      <c r="I113" s="82"/>
      <c r="J113" s="82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9:21">
      <c r="I114" s="82"/>
      <c r="J114" s="82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9:21">
      <c r="I115" s="82"/>
      <c r="J115" s="82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9:21">
      <c r="I116" s="82"/>
      <c r="J116" s="82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9:21">
      <c r="I117" s="82"/>
      <c r="J117" s="82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9:21">
      <c r="I118" s="82"/>
      <c r="J118" s="82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9:21">
      <c r="I119" s="82"/>
      <c r="J119" s="82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9:21">
      <c r="I120" s="82"/>
      <c r="J120" s="82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9:21">
      <c r="I121" s="82"/>
      <c r="J121" s="82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9:21">
      <c r="I122" s="82"/>
      <c r="J122" s="82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9:21">
      <c r="I123" s="82"/>
      <c r="J123" s="82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9:21">
      <c r="I124" s="82"/>
      <c r="J124" s="82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9:21">
      <c r="I125" s="82"/>
      <c r="J125" s="82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9:21">
      <c r="I126" s="82"/>
      <c r="J126" s="82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9:21">
      <c r="I127" s="82"/>
      <c r="J127" s="82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9:21">
      <c r="I128" s="82"/>
      <c r="J128" s="82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9:21">
      <c r="I129" s="82"/>
      <c r="J129" s="82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9:21">
      <c r="I130" s="82"/>
      <c r="J130" s="82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9:21">
      <c r="I131" s="82"/>
      <c r="J131" s="82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9:21">
      <c r="I132" s="82"/>
      <c r="J132" s="82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9:21">
      <c r="I133" s="82"/>
      <c r="J133" s="82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9:21">
      <c r="I134" s="82"/>
      <c r="J134" s="82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9:21">
      <c r="I135" s="82"/>
      <c r="J135" s="82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9:21">
      <c r="I136" s="82"/>
      <c r="J136" s="82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9:21">
      <c r="I137" s="82"/>
      <c r="J137" s="82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9:21">
      <c r="I138" s="82"/>
      <c r="J138" s="82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9:21">
      <c r="I139" s="82"/>
      <c r="J139" s="82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9:21">
      <c r="I140" s="82"/>
      <c r="J140" s="82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9:21">
      <c r="I141" s="82"/>
      <c r="J141" s="82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9:21">
      <c r="I142" s="82"/>
      <c r="J142" s="82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9:21">
      <c r="I143" s="82"/>
      <c r="J143" s="82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9:21">
      <c r="I144" s="82"/>
      <c r="J144" s="82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9:21">
      <c r="I145" s="82"/>
      <c r="J145" s="82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9:21">
      <c r="I146" s="82"/>
      <c r="J146" s="82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9:21">
      <c r="I147" s="82"/>
      <c r="J147" s="82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9:21">
      <c r="I148" s="82"/>
      <c r="J148" s="82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9:21">
      <c r="I149" s="82"/>
      <c r="J149" s="82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9:21">
      <c r="I150" s="82"/>
      <c r="J150" s="82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9:21">
      <c r="I151" s="82"/>
      <c r="J151" s="82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9:21">
      <c r="I152" s="82"/>
      <c r="J152" s="82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9:21">
      <c r="I153" s="82"/>
      <c r="J153" s="82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9:21">
      <c r="I154" s="82"/>
      <c r="J154" s="82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9:21">
      <c r="I155" s="82"/>
      <c r="J155" s="82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9:21">
      <c r="I156" s="82"/>
      <c r="J156" s="82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9:21">
      <c r="I157" s="82"/>
      <c r="J157" s="82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9:21">
      <c r="I158" s="82"/>
      <c r="J158" s="82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9:21">
      <c r="I159" s="82"/>
      <c r="J159" s="82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9:21">
      <c r="I160" s="82"/>
      <c r="J160" s="82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9:21">
      <c r="I161" s="82"/>
      <c r="J161" s="82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9:21">
      <c r="I162" s="82"/>
      <c r="J162" s="82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9:21">
      <c r="I163" s="82"/>
      <c r="J163" s="82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9:21">
      <c r="I164" s="82"/>
      <c r="J164" s="82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9:21">
      <c r="I165" s="82"/>
      <c r="J165" s="82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9:21">
      <c r="I166" s="82"/>
      <c r="J166" s="82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9:21">
      <c r="I167" s="82"/>
      <c r="J167" s="82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9:21">
      <c r="I168" s="82"/>
      <c r="J168" s="82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9:21">
      <c r="I169" s="82"/>
      <c r="J169" s="82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9:21">
      <c r="I170" s="82"/>
      <c r="J170" s="82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9:21">
      <c r="I171" s="82"/>
      <c r="J171" s="82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9:21">
      <c r="I172" s="82"/>
      <c r="J172" s="82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9:21">
      <c r="I173" s="82"/>
      <c r="J173" s="82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9:21">
      <c r="I174" s="82"/>
      <c r="J174" s="82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9:21">
      <c r="I175" s="82"/>
      <c r="J175" s="82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9:21">
      <c r="I176" s="82"/>
      <c r="J176" s="82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9:21">
      <c r="I177" s="82"/>
      <c r="J177" s="82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9:21">
      <c r="I178" s="82"/>
      <c r="J178" s="82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9:21">
      <c r="I179" s="82"/>
      <c r="J179" s="82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9:21">
      <c r="I180" s="82"/>
      <c r="J180" s="82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9:21">
      <c r="I181" s="82"/>
      <c r="J181" s="82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9:21">
      <c r="I182" s="82"/>
      <c r="J182" s="82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9:21">
      <c r="I183" s="82"/>
      <c r="J183" s="82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9:21">
      <c r="I184" s="82"/>
      <c r="J184" s="82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9:21">
      <c r="I185" s="82"/>
      <c r="J185" s="82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9:21">
      <c r="I186" s="82"/>
      <c r="J186" s="82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9:21">
      <c r="I187" s="82"/>
      <c r="J187" s="82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9:21">
      <c r="I188" s="82"/>
      <c r="J188" s="82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9:21">
      <c r="I189" s="82"/>
      <c r="J189" s="82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9:21">
      <c r="I190" s="82"/>
      <c r="J190" s="82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9:21">
      <c r="I191" s="82"/>
      <c r="J191" s="82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9:21">
      <c r="I192" s="82"/>
      <c r="J192" s="82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9:21">
      <c r="I193" s="82"/>
      <c r="J193" s="82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9:21">
      <c r="I194" s="82"/>
      <c r="J194" s="82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9:21">
      <c r="I195" s="82"/>
      <c r="J195" s="82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9:21">
      <c r="I196" s="82"/>
      <c r="J196" s="82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9:21">
      <c r="I197" s="82"/>
      <c r="J197" s="82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9:21">
      <c r="I198" s="82"/>
      <c r="J198" s="82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9:21">
      <c r="I199" s="82"/>
      <c r="J199" s="82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9:21">
      <c r="I200" s="82"/>
      <c r="J200" s="82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9:21">
      <c r="I201" s="82"/>
      <c r="J201" s="82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9:21">
      <c r="I202" s="82"/>
      <c r="J202" s="82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9:21">
      <c r="I203" s="82"/>
      <c r="J203" s="82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9:21">
      <c r="I204" s="82"/>
      <c r="J204" s="82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9:21">
      <c r="I205" s="82"/>
      <c r="J205" s="82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9:21">
      <c r="I206" s="82"/>
      <c r="J206" s="82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9:21">
      <c r="I207" s="82"/>
      <c r="J207" s="82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9:21">
      <c r="I208" s="82"/>
      <c r="J208" s="82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9:21">
      <c r="I209" s="82"/>
      <c r="J209" s="82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9:21">
      <c r="I210" s="82"/>
      <c r="J210" s="82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9:21">
      <c r="I211" s="82"/>
      <c r="J211" s="82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9:21">
      <c r="I212" s="82"/>
      <c r="J212" s="82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9:21">
      <c r="I213" s="82"/>
      <c r="J213" s="82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9:21">
      <c r="I214" s="82"/>
      <c r="J214" s="82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9:21">
      <c r="I215" s="82"/>
      <c r="J215" s="82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9:21">
      <c r="I216" s="82"/>
      <c r="J216" s="82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9:21">
      <c r="I217" s="82"/>
      <c r="J217" s="82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9:21">
      <c r="I218" s="82"/>
      <c r="J218" s="82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9:21">
      <c r="I219" s="82"/>
      <c r="J219" s="82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</row>
    <row r="220" spans="9:21">
      <c r="I220" s="82"/>
      <c r="J220" s="82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9:21">
      <c r="I221" s="82"/>
      <c r="J221" s="82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</row>
    <row r="222" spans="9:21">
      <c r="I222" s="82"/>
      <c r="J222" s="82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9:21">
      <c r="I223" s="82"/>
      <c r="J223" s="82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9:21">
      <c r="I224" s="82"/>
      <c r="J224" s="82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9:21">
      <c r="I225" s="82"/>
      <c r="J225" s="82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9:21">
      <c r="I226" s="82"/>
      <c r="J226" s="82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9:21">
      <c r="I227" s="82"/>
      <c r="J227" s="82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9:21">
      <c r="I228" s="82"/>
      <c r="J228" s="82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9:21">
      <c r="I229" s="82"/>
      <c r="J229" s="82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9:21">
      <c r="I230" s="82"/>
      <c r="J230" s="82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9:21">
      <c r="I231" s="82"/>
      <c r="J231" s="82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9:21">
      <c r="I232" s="82"/>
      <c r="J232" s="82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9:21">
      <c r="I233" s="82"/>
      <c r="J233" s="82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9:21">
      <c r="I234" s="82"/>
      <c r="J234" s="82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9:21">
      <c r="I235" s="82"/>
      <c r="J235" s="82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9:21">
      <c r="I236" s="82"/>
      <c r="J236" s="82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9:21">
      <c r="I237" s="82"/>
      <c r="J237" s="82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9:21">
      <c r="I238" s="82"/>
      <c r="J238" s="82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9:21">
      <c r="I239" s="82"/>
      <c r="J239" s="82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0" spans="9:21">
      <c r="I240" s="82"/>
      <c r="J240" s="82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</row>
    <row r="241" spans="9:21">
      <c r="I241" s="82"/>
      <c r="J241" s="82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9:21">
      <c r="I242" s="82"/>
      <c r="J242" s="82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</row>
    <row r="243" spans="9:21">
      <c r="I243" s="82"/>
      <c r="J243" s="82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  <row r="244" spans="9:21">
      <c r="I244" s="82"/>
      <c r="J244" s="82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</row>
    <row r="245" spans="9:21">
      <c r="I245" s="82"/>
      <c r="J245" s="82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</row>
    <row r="246" spans="9:21">
      <c r="I246" s="82"/>
      <c r="J246" s="82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</row>
    <row r="247" spans="9:21">
      <c r="I247" s="82"/>
      <c r="J247" s="82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</row>
    <row r="248" spans="9:21">
      <c r="I248" s="82"/>
      <c r="J248" s="82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</row>
    <row r="249" spans="9:21">
      <c r="I249" s="82"/>
      <c r="J249" s="82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</row>
    <row r="250" spans="9:21">
      <c r="I250" s="82"/>
      <c r="J250" s="82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</row>
    <row r="251" spans="9:21">
      <c r="I251" s="82"/>
      <c r="J251" s="82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</row>
    <row r="252" spans="9:21">
      <c r="I252" s="82"/>
      <c r="J252" s="82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</row>
    <row r="253" spans="9:21">
      <c r="I253" s="82"/>
      <c r="J253" s="82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</row>
    <row r="254" spans="9:21">
      <c r="I254" s="82"/>
      <c r="J254" s="82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</row>
    <row r="255" spans="9:21">
      <c r="I255" s="82"/>
      <c r="J255" s="82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</row>
    <row r="256" spans="9:21">
      <c r="I256" s="82"/>
      <c r="J256" s="82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</row>
    <row r="257" spans="9:21">
      <c r="I257" s="82"/>
      <c r="J257" s="82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</row>
    <row r="258" spans="9:21">
      <c r="I258" s="82"/>
      <c r="J258" s="82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</row>
    <row r="259" spans="9:21">
      <c r="I259" s="82"/>
      <c r="J259" s="82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</row>
    <row r="260" spans="9:21">
      <c r="I260" s="82"/>
      <c r="J260" s="82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</row>
    <row r="261" spans="9:21">
      <c r="I261" s="82"/>
      <c r="J261" s="82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</row>
    <row r="262" spans="9:21">
      <c r="I262" s="82"/>
      <c r="J262" s="82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</row>
    <row r="263" spans="9:21">
      <c r="I263" s="82"/>
      <c r="J263" s="82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</row>
    <row r="264" spans="9:21">
      <c r="I264" s="82"/>
      <c r="J264" s="82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</row>
    <row r="265" spans="9:21">
      <c r="I265" s="82"/>
      <c r="J265" s="82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</row>
    <row r="266" spans="9:21">
      <c r="I266" s="82"/>
      <c r="J266" s="82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</row>
    <row r="267" spans="9:21">
      <c r="I267" s="82"/>
      <c r="J267" s="82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</row>
    <row r="268" spans="9:21">
      <c r="I268" s="82"/>
      <c r="J268" s="82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</row>
    <row r="269" spans="9:21">
      <c r="I269" s="82"/>
      <c r="J269" s="82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</row>
    <row r="270" spans="9:21">
      <c r="I270" s="82"/>
      <c r="J270" s="82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</row>
    <row r="271" spans="9:21">
      <c r="I271" s="82"/>
      <c r="J271" s="82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</row>
    <row r="272" spans="9:21">
      <c r="I272" s="82"/>
      <c r="J272" s="82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</row>
    <row r="273" spans="9:21">
      <c r="I273" s="82"/>
      <c r="J273" s="82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</row>
    <row r="274" spans="9:21">
      <c r="I274" s="82"/>
      <c r="J274" s="82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</row>
    <row r="275" spans="9:21">
      <c r="I275" s="82"/>
      <c r="J275" s="82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</row>
    <row r="276" spans="9:21">
      <c r="I276" s="82"/>
      <c r="J276" s="82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</row>
    <row r="277" spans="9:21">
      <c r="I277" s="82"/>
      <c r="J277" s="82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</row>
    <row r="278" spans="9:21">
      <c r="I278" s="82"/>
      <c r="J278" s="82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</row>
    <row r="279" spans="9:21">
      <c r="I279" s="82"/>
      <c r="J279" s="82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</row>
    <row r="280" spans="9:21">
      <c r="I280" s="82"/>
      <c r="J280" s="82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</row>
    <row r="281" spans="9:21">
      <c r="I281" s="82"/>
      <c r="J281" s="82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</row>
    <row r="282" spans="9:21">
      <c r="I282" s="82"/>
      <c r="J282" s="82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</row>
    <row r="283" spans="9:21">
      <c r="I283" s="82"/>
      <c r="J283" s="82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</row>
    <row r="284" spans="9:21">
      <c r="I284" s="82"/>
      <c r="J284" s="82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</row>
    <row r="285" spans="9:21">
      <c r="I285" s="82"/>
      <c r="J285" s="82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</row>
    <row r="286" spans="9:21">
      <c r="I286" s="82"/>
      <c r="J286" s="82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</row>
    <row r="287" spans="9:21">
      <c r="I287" s="82"/>
      <c r="J287" s="82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</row>
    <row r="288" spans="9:21">
      <c r="I288" s="82"/>
      <c r="J288" s="82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</row>
    <row r="289" spans="9:21">
      <c r="I289" s="82"/>
      <c r="J289" s="82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</row>
    <row r="290" spans="9:21">
      <c r="I290" s="82"/>
      <c r="J290" s="82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</row>
    <row r="291" spans="9:21">
      <c r="I291" s="82"/>
      <c r="J291" s="82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</row>
    <row r="292" spans="9:21">
      <c r="I292" s="82"/>
      <c r="J292" s="82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</row>
    <row r="293" spans="9:21">
      <c r="I293" s="82"/>
      <c r="J293" s="82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</row>
    <row r="294" spans="9:21">
      <c r="I294" s="82"/>
      <c r="J294" s="82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</row>
    <row r="295" spans="9:21">
      <c r="I295" s="82"/>
      <c r="J295" s="82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</row>
    <row r="296" spans="9:21">
      <c r="I296" s="82"/>
      <c r="J296" s="82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</row>
    <row r="297" spans="9:21">
      <c r="I297" s="82"/>
      <c r="J297" s="82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</row>
    <row r="298" spans="9:21">
      <c r="I298" s="82"/>
      <c r="J298" s="82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</row>
    <row r="299" spans="9:21">
      <c r="I299" s="82"/>
      <c r="J299" s="82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</row>
    <row r="300" spans="9:21">
      <c r="I300" s="82"/>
      <c r="J300" s="82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</row>
    <row r="301" spans="9:21">
      <c r="I301" s="82"/>
      <c r="J301" s="82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</row>
    <row r="302" spans="9:21">
      <c r="I302" s="82"/>
      <c r="J302" s="82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</row>
    <row r="303" spans="9:21">
      <c r="I303" s="82"/>
      <c r="J303" s="82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</row>
    <row r="304" spans="9:21">
      <c r="I304" s="82"/>
      <c r="J304" s="82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</row>
    <row r="305" spans="9:21">
      <c r="I305" s="82"/>
      <c r="J305" s="82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</row>
    <row r="306" spans="9:21">
      <c r="I306" s="82"/>
      <c r="J306" s="82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</row>
    <row r="307" spans="9:21">
      <c r="I307" s="82"/>
      <c r="J307" s="82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</row>
    <row r="308" spans="9:21">
      <c r="I308" s="82"/>
      <c r="J308" s="82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</row>
    <row r="309" spans="9:21">
      <c r="I309" s="82"/>
      <c r="J309" s="82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</row>
    <row r="310" spans="9:21">
      <c r="I310" s="82"/>
      <c r="J310" s="82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</row>
    <row r="311" spans="9:21">
      <c r="I311" s="82"/>
      <c r="J311" s="82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</row>
    <row r="312" spans="9:21">
      <c r="I312" s="82"/>
      <c r="J312" s="82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</row>
    <row r="313" spans="9:21">
      <c r="I313" s="82"/>
      <c r="J313" s="82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</row>
    <row r="314" spans="9:21">
      <c r="I314" s="82"/>
      <c r="J314" s="82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</row>
    <row r="315" spans="9:21">
      <c r="I315" s="82"/>
      <c r="J315" s="82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</row>
    <row r="316" spans="9:21">
      <c r="I316" s="82"/>
      <c r="J316" s="82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</row>
    <row r="317" spans="9:21">
      <c r="I317" s="82"/>
      <c r="J317" s="82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</row>
    <row r="318" spans="9:21">
      <c r="I318" s="82"/>
      <c r="J318" s="82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</row>
    <row r="319" spans="9:21">
      <c r="I319" s="82"/>
      <c r="J319" s="82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</row>
  </sheetData>
  <mergeCells count="3">
    <mergeCell ref="G11:Q11"/>
    <mergeCell ref="S11:V11"/>
    <mergeCell ref="A8:W8"/>
  </mergeCells>
  <printOptions horizontalCentered="1" verticalCentered="1"/>
  <pageMargins left="0.59055118110236227" right="0" top="0" bottom="0" header="0" footer="0.11811023622047245"/>
  <pageSetup paperSize="5" scale="55" orientation="landscape" r:id="rId1"/>
  <headerFooter alignWithMargins="0"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PLANTILLA 2018</vt:lpstr>
      <vt:lpstr>'PLANTILLA 2018'!Área_de_impresión</vt:lpstr>
      <vt:lpstr>'PLANTILLA 2018'!PLANTILLA_PARA_REVISION_2001</vt:lpstr>
      <vt:lpstr>'PLANTILLA 2018'!Títulos_a_imprimir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2018-05-18T22:32:05Z</dcterms:created>
  <dcterms:modified xsi:type="dcterms:W3CDTF">2018-05-18T22:53:54Z</dcterms:modified>
</cp:coreProperties>
</file>